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640"/>
  </bookViews>
  <sheets>
    <sheet name="форма" sheetId="1" r:id="rId1"/>
    <sheet name="Лист1" sheetId="2" r:id="rId2"/>
    <sheet name="Лист1 (2)" sheetId="3" r:id="rId3"/>
  </sheets>
  <definedNames>
    <definedName name="_xlnm.Print_Area" localSheetId="0">форма!$A$1:$I$98</definedName>
  </definedNames>
  <calcPr calcId="125725"/>
</workbook>
</file>

<file path=xl/calcChain.xml><?xml version="1.0" encoding="utf-8"?>
<calcChain xmlns="http://schemas.openxmlformats.org/spreadsheetml/2006/main">
  <c r="H57" i="1"/>
  <c r="H94"/>
  <c r="H93"/>
  <c r="F94"/>
  <c r="F93"/>
  <c r="F57"/>
  <c r="D102"/>
  <c r="D94"/>
  <c r="D93"/>
  <c r="F49"/>
  <c r="F20"/>
  <c r="F22"/>
  <c r="I14"/>
  <c r="H51"/>
  <c r="D27"/>
  <c r="D49"/>
  <c r="D48"/>
  <c r="D41"/>
  <c r="D40"/>
  <c r="D39"/>
  <c r="D37" l="1"/>
  <c r="D22"/>
  <c r="C22"/>
  <c r="D16"/>
  <c r="C35" i="3"/>
  <c r="D35"/>
  <c r="B35"/>
  <c r="E27"/>
  <c r="E28"/>
  <c r="E29"/>
  <c r="E30"/>
  <c r="E31"/>
  <c r="E32"/>
  <c r="E33"/>
  <c r="E34"/>
  <c r="E10"/>
  <c r="E8"/>
  <c r="E9"/>
  <c r="E7"/>
  <c r="E26"/>
  <c r="E25"/>
  <c r="E23"/>
  <c r="E22"/>
  <c r="E21"/>
  <c r="E20"/>
  <c r="E19"/>
  <c r="E18"/>
  <c r="E35" s="1"/>
  <c r="E17"/>
  <c r="E16"/>
  <c r="D13"/>
  <c r="C13"/>
  <c r="B13"/>
  <c r="E12"/>
  <c r="E11"/>
  <c r="E6"/>
  <c r="E5"/>
  <c r="E4"/>
  <c r="D43" i="1"/>
  <c r="F43"/>
  <c r="E43"/>
  <c r="E41"/>
  <c r="F41"/>
  <c r="F27"/>
  <c r="C37"/>
  <c r="D36"/>
  <c r="D34"/>
  <c r="D35"/>
  <c r="D42"/>
  <c r="D33"/>
  <c r="D28"/>
  <c r="F42"/>
  <c r="E42"/>
  <c r="F10"/>
  <c r="H16"/>
  <c r="F16"/>
  <c r="F9"/>
  <c r="E13" i="3" l="1"/>
  <c r="E15"/>
  <c r="H9" i="1"/>
  <c r="D9"/>
  <c r="I9" s="1"/>
  <c r="I11" l="1"/>
  <c r="I13"/>
  <c r="I15"/>
  <c r="D10"/>
  <c r="D12"/>
  <c r="I12" s="1"/>
  <c r="D8"/>
  <c r="D7"/>
  <c r="H17"/>
  <c r="E26" i="2"/>
  <c r="C34"/>
  <c r="B34"/>
  <c r="C18"/>
  <c r="B18"/>
  <c r="D17" l="1"/>
  <c r="D12"/>
  <c r="D16"/>
  <c r="D14"/>
  <c r="E14" s="1"/>
  <c r="D13"/>
  <c r="E13" s="1"/>
  <c r="C10"/>
  <c r="B10"/>
  <c r="D10"/>
  <c r="E8"/>
  <c r="E9"/>
  <c r="E4"/>
  <c r="D20"/>
  <c r="E20" s="1"/>
  <c r="D31"/>
  <c r="E31" s="1"/>
  <c r="E32"/>
  <c r="E27"/>
  <c r="D55" i="1"/>
  <c r="F55"/>
  <c r="D60"/>
  <c r="E7" i="2"/>
  <c r="E6"/>
  <c r="E5"/>
  <c r="E17"/>
  <c r="E16"/>
  <c r="E15"/>
  <c r="E10" l="1"/>
  <c r="D18"/>
  <c r="E12"/>
  <c r="E18" s="1"/>
  <c r="E33"/>
  <c r="E28" l="1"/>
  <c r="E30" l="1"/>
  <c r="D22"/>
  <c r="E29"/>
  <c r="E21"/>
  <c r="E23"/>
  <c r="E24"/>
  <c r="D25"/>
  <c r="E25" s="1"/>
  <c r="D57" i="1"/>
  <c r="D77"/>
  <c r="D64"/>
  <c r="D79"/>
  <c r="D75"/>
  <c r="I56"/>
  <c r="I58"/>
  <c r="I59"/>
  <c r="I60"/>
  <c r="I55"/>
  <c r="I65"/>
  <c r="I68"/>
  <c r="I69"/>
  <c r="I70"/>
  <c r="I64"/>
  <c r="D66"/>
  <c r="I66" s="1"/>
  <c r="D67"/>
  <c r="I67" s="1"/>
  <c r="I76"/>
  <c r="I77"/>
  <c r="I79"/>
  <c r="I80"/>
  <c r="I81"/>
  <c r="I75"/>
  <c r="I90"/>
  <c r="D78"/>
  <c r="I78" s="1"/>
  <c r="F35"/>
  <c r="E35"/>
  <c r="G17"/>
  <c r="H28"/>
  <c r="H27"/>
  <c r="H29"/>
  <c r="H31"/>
  <c r="H47"/>
  <c r="H48"/>
  <c r="D31"/>
  <c r="F31"/>
  <c r="F17"/>
  <c r="F29"/>
  <c r="F28"/>
  <c r="F48"/>
  <c r="F47"/>
  <c r="I10"/>
  <c r="I8"/>
  <c r="I7"/>
  <c r="H91"/>
  <c r="F91"/>
  <c r="I71"/>
  <c r="I72"/>
  <c r="I73"/>
  <c r="I74"/>
  <c r="I82"/>
  <c r="I83"/>
  <c r="I84"/>
  <c r="I85"/>
  <c r="I86"/>
  <c r="I87"/>
  <c r="I88"/>
  <c r="I89"/>
  <c r="C31"/>
  <c r="D38"/>
  <c r="D17"/>
  <c r="I94" l="1"/>
  <c r="D91"/>
  <c r="I57"/>
  <c r="I93"/>
  <c r="D96"/>
  <c r="D34" i="2"/>
  <c r="E22"/>
  <c r="E34" s="1"/>
  <c r="C48" i="1"/>
  <c r="D47"/>
  <c r="C47"/>
  <c r="C42"/>
  <c r="D29"/>
  <c r="I29" s="1"/>
  <c r="C27"/>
  <c r="I22"/>
  <c r="C38"/>
  <c r="E38"/>
  <c r="F38"/>
  <c r="I38" s="1"/>
  <c r="G38"/>
  <c r="G51" s="1"/>
  <c r="H38"/>
  <c r="F96"/>
  <c r="I63"/>
  <c r="I54"/>
  <c r="I53"/>
  <c r="E51"/>
  <c r="I50"/>
  <c r="I48"/>
  <c r="I46"/>
  <c r="I45"/>
  <c r="I44"/>
  <c r="I43"/>
  <c r="I42"/>
  <c r="I41"/>
  <c r="I40"/>
  <c r="I39"/>
  <c r="I37"/>
  <c r="I36"/>
  <c r="I35"/>
  <c r="I34"/>
  <c r="I33"/>
  <c r="I32"/>
  <c r="I31"/>
  <c r="I30"/>
  <c r="I28"/>
  <c r="I27"/>
  <c r="H25"/>
  <c r="F25"/>
  <c r="D25"/>
  <c r="I24"/>
  <c r="I23"/>
  <c r="I20"/>
  <c r="I19"/>
  <c r="I16"/>
  <c r="I17" s="1"/>
  <c r="F51" l="1"/>
  <c r="F97" s="1"/>
  <c r="F102" s="1"/>
  <c r="I47"/>
  <c r="D51"/>
  <c r="D97" s="1"/>
  <c r="I91"/>
  <c r="H96"/>
  <c r="H97" s="1"/>
  <c r="I49"/>
  <c r="I51" s="1"/>
  <c r="I96"/>
  <c r="I25"/>
  <c r="I97" l="1"/>
  <c r="I98"/>
</calcChain>
</file>

<file path=xl/sharedStrings.xml><?xml version="1.0" encoding="utf-8"?>
<sst xmlns="http://schemas.openxmlformats.org/spreadsheetml/2006/main" count="209" uniqueCount="118">
  <si>
    <t>грн.</t>
  </si>
  <si>
    <t>№ з/п</t>
  </si>
  <si>
    <t>Найменування видатків</t>
  </si>
  <si>
    <t xml:space="preserve">Кільк-ть </t>
  </si>
  <si>
    <t>Залишок асигнувань</t>
  </si>
  <si>
    <t>Сума</t>
  </si>
  <si>
    <t>Предмети,матеріали,обладнання та інвентар</t>
  </si>
  <si>
    <t>х</t>
  </si>
  <si>
    <t xml:space="preserve">Всього </t>
  </si>
  <si>
    <t>Оплата послуг</t>
  </si>
  <si>
    <t>Перевезення працівників</t>
  </si>
  <si>
    <t>Облаштування зовнішнього кисневого тубопроводу трубами з нержавіючої сталі</t>
  </si>
  <si>
    <t xml:space="preserve">Облаштування внутрішньої розводки мідними трубами </t>
  </si>
  <si>
    <t>Встановлення кисневих розеток (точок відбору кисню)</t>
  </si>
  <si>
    <t>Встановлення системи автоматизованого обліку медичного кисню</t>
  </si>
  <si>
    <t xml:space="preserve">Ремонт апаратів ШВЛ  </t>
  </si>
  <si>
    <t>Медикаменти</t>
  </si>
  <si>
    <t>Експрес тести 2019- nCoV-2019</t>
  </si>
  <si>
    <t xml:space="preserve">Щитки захисні </t>
  </si>
  <si>
    <t>Швидкі тести (грип)</t>
  </si>
  <si>
    <t>Костюми високого захисту</t>
  </si>
  <si>
    <t>Респіратор FF P2</t>
  </si>
  <si>
    <t>Респіратор FF P3</t>
  </si>
  <si>
    <t>Комплект одягу медичного Лікаря- інфекціоніста №1а стерильний</t>
  </si>
  <si>
    <t>Комплект одягу медичного Лікаря- інфекціоніста №1а нестерильний</t>
  </si>
  <si>
    <t>Костюм біологічного захисту-комбінезон</t>
  </si>
  <si>
    <t>Костюм біологічного захисту багаторазового користування</t>
  </si>
  <si>
    <t>Халат ізоляційний медичний одноразовий</t>
  </si>
  <si>
    <t>Інші засоби індивідуального захисту : в тому числі</t>
  </si>
  <si>
    <t xml:space="preserve">  -   маска медична</t>
  </si>
  <si>
    <t xml:space="preserve">  -   шапочка медична</t>
  </si>
  <si>
    <t xml:space="preserve">  -   бахіли</t>
  </si>
  <si>
    <t xml:space="preserve">  -   рукавички</t>
  </si>
  <si>
    <t xml:space="preserve">  -   фартух медичний</t>
  </si>
  <si>
    <t xml:space="preserve">  -  щиток захисний+ окуляри </t>
  </si>
  <si>
    <t>Медичні вироби</t>
  </si>
  <si>
    <t>Розхідні матеріали</t>
  </si>
  <si>
    <t xml:space="preserve">Антисептичні засоби для рук </t>
  </si>
  <si>
    <t>Дезинфікуючі засоби для приміщень</t>
  </si>
  <si>
    <t>Лікарські засоби для надання медичної допомоги пацієнтам,хворим на COVID-19</t>
  </si>
  <si>
    <t>Резерв</t>
  </si>
  <si>
    <t>Придбання обладнання</t>
  </si>
  <si>
    <t>Електрокардіограф МІДАС 6/12 (ПО, сен.дисплей 12)</t>
  </si>
  <si>
    <t>Пульсоксиметр GIB</t>
  </si>
  <si>
    <t xml:space="preserve">Монітор пацієнта </t>
  </si>
  <si>
    <t>Інфузомат</t>
  </si>
  <si>
    <t xml:space="preserve">Рентгенівський діагностичний переносний апарат </t>
  </si>
  <si>
    <t>Шприцевий насос</t>
  </si>
  <si>
    <t>Портативний УЗД апарат</t>
  </si>
  <si>
    <t xml:space="preserve">Центрифуга </t>
  </si>
  <si>
    <t xml:space="preserve">Дефібрилятор </t>
  </si>
  <si>
    <t>Фотокаталітичий знезаражувач і очисник повітря</t>
  </si>
  <si>
    <t>Рамка дезинфікуюча</t>
  </si>
  <si>
    <t>Комплект обладнання для проведення дослідження методом ІФА</t>
  </si>
  <si>
    <t>Центрифуга лабораторна</t>
  </si>
  <si>
    <t>Оплата праці</t>
  </si>
  <si>
    <t>Заробітна плата</t>
  </si>
  <si>
    <t>Нарахування</t>
  </si>
  <si>
    <t>РАЗОМ ВИДАТКИ,  в тому числі</t>
  </si>
  <si>
    <t>в т.ч.: резерв</t>
  </si>
  <si>
    <t>Концентрат кисню</t>
  </si>
  <si>
    <t>Ліжко функціональне медичне  2-х секційне</t>
  </si>
  <si>
    <t>Ліжко функціональне медичне 4-х секційне</t>
  </si>
  <si>
    <t>Каталка медична</t>
  </si>
  <si>
    <t>Блочна рампа киснева на 10 балонів</t>
  </si>
  <si>
    <t>Подушка</t>
  </si>
  <si>
    <t>Ковдра</t>
  </si>
  <si>
    <t>Постільна білиза</t>
  </si>
  <si>
    <t>Приліжкова тумба</t>
  </si>
  <si>
    <t>Стілець</t>
  </si>
  <si>
    <t>Шафа для одягу</t>
  </si>
  <si>
    <t>Кисневі балони</t>
  </si>
  <si>
    <t>Палитвно - мастильні матеріали</t>
  </si>
  <si>
    <t xml:space="preserve">Ліжко функціональне медичне  </t>
  </si>
  <si>
    <t>Апарат ШВЛ експертного класу</t>
  </si>
  <si>
    <t>Апарат ШВЛ високого класу</t>
  </si>
  <si>
    <t>Апарат "Сінап"</t>
  </si>
  <si>
    <t>Автоматичний гематоологічний аналізатор</t>
  </si>
  <si>
    <t>Електролітно - газовий аналізатор</t>
  </si>
  <si>
    <t>Цифрове рентген - устаткування</t>
  </si>
  <si>
    <t>Коагулометр</t>
  </si>
  <si>
    <t>Електрокардіограф 12 -ти канальний</t>
  </si>
  <si>
    <t>Пульсоксиметр</t>
  </si>
  <si>
    <t>Пульсоксиметр портативний</t>
  </si>
  <si>
    <t>Сухожарова шафа</t>
  </si>
  <si>
    <t>Кардіомонітор</t>
  </si>
  <si>
    <t>Реанімаційний столик для новонароджених</t>
  </si>
  <si>
    <t>Безтіньова лампа пересувна</t>
  </si>
  <si>
    <t>Мікроскоп</t>
  </si>
  <si>
    <t>Дефібрилятор з функцією синхронізації</t>
  </si>
  <si>
    <t>Ліжко функціональне (для приймання</t>
  </si>
  <si>
    <t>Пульсоксиметри</t>
  </si>
  <si>
    <t>План</t>
  </si>
  <si>
    <t>Потреба</t>
  </si>
  <si>
    <t>Найменування товару, робіт, послуг</t>
  </si>
  <si>
    <t>Скоригована потреба</t>
  </si>
  <si>
    <t>КЕКВ 2210</t>
  </si>
  <si>
    <t>КЕКВ 2220</t>
  </si>
  <si>
    <t>КЕКВ 3110</t>
  </si>
  <si>
    <t>Разом</t>
  </si>
  <si>
    <t>Коригування планів під потребу</t>
  </si>
  <si>
    <t>Головний бухгалтер</t>
  </si>
  <si>
    <t>Н.І.Бондарчук</t>
  </si>
  <si>
    <t>Додаток №1</t>
  </si>
  <si>
    <t>Столик маніпуляційний</t>
  </si>
  <si>
    <t>Приліжкові тумби</t>
  </si>
  <si>
    <t>Ксенчина</t>
  </si>
  <si>
    <t>Рокмед</t>
  </si>
  <si>
    <t>Індев</t>
  </si>
  <si>
    <t>Гремпсіс</t>
  </si>
  <si>
    <t>ТОВ "Прантекс"</t>
  </si>
  <si>
    <t>15 Ксенчина</t>
  </si>
  <si>
    <t>30 ТОВ "Прантекс"</t>
  </si>
  <si>
    <t>Кисневі розетки (точки відбору кисню)</t>
  </si>
  <si>
    <t>Використання коштів по забезпеченню готовності закладів охорони здоров’я для надання медичної допомоги особам, які відповідають визначенню випадку 2019-n CoV станом на 30.12.2020р.</t>
  </si>
  <si>
    <t>Уточнений план станом на 30.12.2020р</t>
  </si>
  <si>
    <t>Профінансовано станом на 30.12.2020 р.</t>
  </si>
  <si>
    <t>Касові видатки станом на 30.12.2020р.</t>
  </si>
</sst>
</file>

<file path=xl/styles.xml><?xml version="1.0" encoding="utf-8"?>
<styleSheet xmlns="http://schemas.openxmlformats.org/spreadsheetml/2006/main">
  <fonts count="22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b/>
      <i/>
      <u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0" borderId="0" xfId="0" applyFont="1"/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4" fillId="0" borderId="2" xfId="0" applyFont="1" applyFill="1" applyBorder="1" applyAlignment="1">
      <alignment horizontal="center" wrapText="1"/>
    </xf>
    <xf numFmtId="0" fontId="4" fillId="0" borderId="0" xfId="0" applyFont="1" applyFill="1"/>
    <xf numFmtId="0" fontId="5" fillId="3" borderId="2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5" fillId="0" borderId="0" xfId="0" applyFont="1" applyFill="1"/>
    <xf numFmtId="0" fontId="5" fillId="0" borderId="2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 wrapText="1"/>
    </xf>
    <xf numFmtId="3" fontId="7" fillId="0" borderId="5" xfId="0" applyNumberFormat="1" applyFont="1" applyFill="1" applyBorder="1" applyAlignment="1">
      <alignment horizontal="right" wrapText="1"/>
    </xf>
    <xf numFmtId="0" fontId="7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left" wrapText="1"/>
    </xf>
    <xf numFmtId="0" fontId="8" fillId="0" borderId="0" xfId="0" applyFont="1"/>
    <xf numFmtId="3" fontId="7" fillId="0" borderId="2" xfId="0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wrapText="1"/>
    </xf>
    <xf numFmtId="0" fontId="10" fillId="3" borderId="2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center"/>
    </xf>
    <xf numFmtId="0" fontId="14" fillId="0" borderId="2" xfId="0" applyFont="1" applyFill="1" applyBorder="1" applyAlignment="1">
      <alignment horizontal="left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2" xfId="0" applyFont="1" applyBorder="1"/>
    <xf numFmtId="0" fontId="16" fillId="0" borderId="2" xfId="0" applyFont="1" applyBorder="1"/>
    <xf numFmtId="0" fontId="17" fillId="0" borderId="2" xfId="0" applyFont="1" applyFill="1" applyBorder="1" applyAlignment="1">
      <alignment horizontal="left" wrapText="1"/>
    </xf>
    <xf numFmtId="0" fontId="0" fillId="0" borderId="2" xfId="0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wrapText="1"/>
    </xf>
    <xf numFmtId="0" fontId="11" fillId="0" borderId="0" xfId="0" applyFont="1" applyFill="1" applyAlignment="1">
      <alignment horizontal="center"/>
    </xf>
    <xf numFmtId="3" fontId="7" fillId="0" borderId="6" xfId="0" applyNumberFormat="1" applyFont="1" applyFill="1" applyBorder="1" applyAlignment="1">
      <alignment horizontal="right" wrapText="1"/>
    </xf>
    <xf numFmtId="3" fontId="7" fillId="0" borderId="8" xfId="0" applyNumberFormat="1" applyFont="1" applyFill="1" applyBorder="1" applyAlignment="1">
      <alignment horizontal="right" wrapText="1"/>
    </xf>
    <xf numFmtId="0" fontId="19" fillId="0" borderId="0" xfId="0" applyFont="1" applyFill="1"/>
    <xf numFmtId="0" fontId="20" fillId="0" borderId="1" xfId="0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center" vertical="center" wrapText="1"/>
    </xf>
    <xf numFmtId="1" fontId="19" fillId="0" borderId="0" xfId="0" applyNumberFormat="1" applyFont="1" applyFill="1" applyAlignment="1">
      <alignment horizontal="right"/>
    </xf>
    <xf numFmtId="1" fontId="20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1" fontId="20" fillId="0" borderId="6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right" vertical="center"/>
    </xf>
    <xf numFmtId="1" fontId="7" fillId="0" borderId="8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/>
    </xf>
    <xf numFmtId="1" fontId="7" fillId="0" borderId="2" xfId="0" applyNumberFormat="1" applyFont="1" applyFill="1" applyBorder="1" applyAlignment="1">
      <alignment vertical="center"/>
    </xf>
    <xf numFmtId="3" fontId="20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right"/>
    </xf>
    <xf numFmtId="3" fontId="20" fillId="0" borderId="5" xfId="0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horizontal="center"/>
    </xf>
    <xf numFmtId="3" fontId="7" fillId="0" borderId="2" xfId="0" applyNumberFormat="1" applyFont="1" applyFill="1" applyBorder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center"/>
    </xf>
    <xf numFmtId="3" fontId="7" fillId="0" borderId="6" xfId="0" applyNumberFormat="1" applyFont="1" applyFill="1" applyBorder="1" applyAlignment="1">
      <alignment horizontal="right"/>
    </xf>
    <xf numFmtId="3" fontId="7" fillId="0" borderId="8" xfId="0" applyNumberFormat="1" applyFont="1" applyFill="1" applyBorder="1" applyAlignment="1">
      <alignment horizontal="right"/>
    </xf>
    <xf numFmtId="3" fontId="20" fillId="0" borderId="6" xfId="0" applyNumberFormat="1" applyFont="1" applyFill="1" applyBorder="1" applyAlignment="1">
      <alignment horizontal="right"/>
    </xf>
    <xf numFmtId="3" fontId="20" fillId="0" borderId="8" xfId="0" applyNumberFormat="1" applyFont="1" applyFill="1" applyBorder="1" applyAlignment="1">
      <alignment horizontal="right"/>
    </xf>
    <xf numFmtId="0" fontId="20" fillId="0" borderId="2" xfId="0" applyFont="1" applyFill="1" applyBorder="1"/>
    <xf numFmtId="3" fontId="7" fillId="0" borderId="2" xfId="0" applyNumberFormat="1" applyFont="1" applyFill="1" applyBorder="1" applyAlignment="1">
      <alignment horizontal="center" wrapText="1"/>
    </xf>
    <xf numFmtId="3" fontId="7" fillId="0" borderId="6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 wrapText="1"/>
    </xf>
    <xf numFmtId="3" fontId="21" fillId="0" borderId="6" xfId="0" applyNumberFormat="1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3" fontId="21" fillId="0" borderId="6" xfId="0" applyNumberFormat="1" applyFont="1" applyFill="1" applyBorder="1" applyAlignment="1">
      <alignment horizontal="right"/>
    </xf>
    <xf numFmtId="0" fontId="20" fillId="0" borderId="2" xfId="0" applyFont="1" applyFill="1" applyBorder="1" applyAlignment="1">
      <alignment horizontal="center"/>
    </xf>
    <xf numFmtId="3" fontId="7" fillId="0" borderId="3" xfId="0" applyNumberFormat="1" applyFont="1" applyFill="1" applyBorder="1" applyAlignment="1">
      <alignment horizontal="right"/>
    </xf>
    <xf numFmtId="0" fontId="7" fillId="0" borderId="2" xfId="0" applyFont="1" applyFill="1" applyBorder="1"/>
    <xf numFmtId="3" fontId="7" fillId="0" borderId="9" xfId="0" applyNumberFormat="1" applyFont="1" applyFill="1" applyBorder="1" applyAlignment="1">
      <alignment horizontal="right" wrapText="1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4" fontId="20" fillId="0" borderId="2" xfId="0" applyNumberFormat="1" applyFont="1" applyFill="1" applyBorder="1" applyAlignment="1"/>
    <xf numFmtId="0" fontId="21" fillId="0" borderId="2" xfId="0" applyFont="1" applyFill="1" applyBorder="1" applyAlignment="1">
      <alignment horizontal="left" wrapText="1"/>
    </xf>
    <xf numFmtId="3" fontId="21" fillId="0" borderId="2" xfId="0" applyNumberFormat="1" applyFont="1" applyFill="1" applyBorder="1" applyAlignment="1">
      <alignment horizontal="right"/>
    </xf>
    <xf numFmtId="3" fontId="21" fillId="0" borderId="5" xfId="0" applyNumberFormat="1" applyFont="1" applyFill="1" applyBorder="1" applyAlignment="1">
      <alignment horizontal="right"/>
    </xf>
    <xf numFmtId="3" fontId="20" fillId="4" borderId="2" xfId="0" applyNumberFormat="1" applyFont="1" applyFill="1" applyBorder="1" applyAlignment="1">
      <alignment horizontal="center"/>
    </xf>
    <xf numFmtId="3" fontId="20" fillId="4" borderId="2" xfId="0" applyNumberFormat="1" applyFont="1" applyFill="1" applyBorder="1" applyAlignment="1">
      <alignment horizontal="right"/>
    </xf>
    <xf numFmtId="3" fontId="20" fillId="4" borderId="5" xfId="0" applyNumberFormat="1" applyFont="1" applyFill="1" applyBorder="1" applyAlignment="1">
      <alignment horizontal="right"/>
    </xf>
    <xf numFmtId="0" fontId="20" fillId="4" borderId="2" xfId="0" applyFont="1" applyFill="1" applyBorder="1" applyAlignment="1">
      <alignment horizontal="center"/>
    </xf>
    <xf numFmtId="4" fontId="20" fillId="4" borderId="2" xfId="0" applyNumberFormat="1" applyFont="1" applyFill="1" applyBorder="1" applyAlignment="1"/>
    <xf numFmtId="0" fontId="9" fillId="3" borderId="2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wrapText="1"/>
    </xf>
    <xf numFmtId="3" fontId="7" fillId="5" borderId="2" xfId="0" applyNumberFormat="1" applyFont="1" applyFill="1" applyBorder="1" applyAlignment="1">
      <alignment horizontal="right"/>
    </xf>
    <xf numFmtId="3" fontId="7" fillId="5" borderId="2" xfId="0" applyNumberFormat="1" applyFont="1" applyFill="1" applyBorder="1" applyAlignment="1">
      <alignment horizontal="right" wrapText="1"/>
    </xf>
    <xf numFmtId="0" fontId="7" fillId="0" borderId="5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1" fontId="20" fillId="0" borderId="4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1" fontId="20" fillId="0" borderId="2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P102"/>
  <sheetViews>
    <sheetView tabSelected="1" view="pageBreakPreview" zoomScale="80" zoomScaleNormal="100" zoomScaleSheetLayoutView="80" workbookViewId="0">
      <selection activeCell="L4" sqref="L4"/>
    </sheetView>
  </sheetViews>
  <sheetFormatPr defaultRowHeight="12.75"/>
  <cols>
    <col min="1" max="1" width="5.42578125" style="1" customWidth="1"/>
    <col min="2" max="2" width="61.7109375" style="1" customWidth="1"/>
    <col min="3" max="3" width="10.85546875" style="60" customWidth="1"/>
    <col min="4" max="4" width="15.42578125" style="64" customWidth="1"/>
    <col min="5" max="5" width="15.5703125" style="60" customWidth="1"/>
    <col min="6" max="6" width="15.5703125" style="64" customWidth="1"/>
    <col min="7" max="7" width="15.140625" style="60" customWidth="1"/>
    <col min="8" max="8" width="15.42578125" style="60" customWidth="1"/>
    <col min="9" max="9" width="16.42578125" style="60" customWidth="1"/>
    <col min="10" max="10" width="17.28515625" style="1" customWidth="1"/>
    <col min="11" max="11" width="9.140625" style="1" customWidth="1"/>
    <col min="12" max="12" width="16.42578125" style="1" customWidth="1"/>
    <col min="13" max="13" width="25.42578125" style="1" customWidth="1"/>
    <col min="14" max="14" width="13.42578125" style="1" customWidth="1"/>
    <col min="15" max="15" width="11" style="1" customWidth="1"/>
    <col min="16" max="16384" width="9.140625" style="1"/>
  </cols>
  <sheetData>
    <row r="1" spans="1:16" ht="61.9" customHeight="1">
      <c r="A1" s="119" t="s">
        <v>114</v>
      </c>
      <c r="B1" s="119"/>
      <c r="C1" s="119"/>
      <c r="D1" s="119"/>
      <c r="E1" s="119"/>
      <c r="F1" s="119"/>
      <c r="G1" s="119"/>
      <c r="H1" s="119"/>
    </row>
    <row r="2" spans="1:16" ht="12" customHeight="1">
      <c r="A2" s="2"/>
      <c r="B2" s="2"/>
      <c r="C2" s="61"/>
      <c r="D2" s="62"/>
      <c r="E2" s="63"/>
      <c r="F2" s="60"/>
      <c r="H2" s="64" t="s">
        <v>0</v>
      </c>
    </row>
    <row r="3" spans="1:16" s="3" customFormat="1" ht="37.5">
      <c r="A3" s="120" t="s">
        <v>1</v>
      </c>
      <c r="B3" s="121" t="s">
        <v>2</v>
      </c>
      <c r="C3" s="123" t="s">
        <v>3</v>
      </c>
      <c r="D3" s="124" t="s">
        <v>115</v>
      </c>
      <c r="E3" s="126" t="s">
        <v>116</v>
      </c>
      <c r="F3" s="126"/>
      <c r="G3" s="127" t="s">
        <v>117</v>
      </c>
      <c r="H3" s="128"/>
      <c r="I3" s="65" t="s">
        <v>4</v>
      </c>
    </row>
    <row r="4" spans="1:16" s="4" customFormat="1" ht="48" customHeight="1">
      <c r="A4" s="120"/>
      <c r="B4" s="122"/>
      <c r="C4" s="123"/>
      <c r="D4" s="125"/>
      <c r="E4" s="66" t="s">
        <v>3</v>
      </c>
      <c r="F4" s="67" t="s">
        <v>5</v>
      </c>
      <c r="G4" s="66" t="s">
        <v>3</v>
      </c>
      <c r="H4" s="68" t="s">
        <v>5</v>
      </c>
      <c r="I4" s="68" t="s">
        <v>5</v>
      </c>
    </row>
    <row r="5" spans="1:16" s="7" customFormat="1" ht="18" customHeight="1">
      <c r="A5" s="5"/>
      <c r="B5" s="6" t="s">
        <v>6</v>
      </c>
      <c r="C5" s="37"/>
      <c r="D5" s="69"/>
      <c r="E5" s="70"/>
      <c r="F5" s="71"/>
      <c r="G5" s="70"/>
      <c r="H5" s="72"/>
      <c r="I5" s="73"/>
    </row>
    <row r="6" spans="1:16" s="7" customFormat="1" ht="18" customHeight="1">
      <c r="A6" s="5">
        <v>1</v>
      </c>
      <c r="B6" s="9" t="s">
        <v>72</v>
      </c>
      <c r="C6" s="37" t="s">
        <v>7</v>
      </c>
      <c r="D6" s="69"/>
      <c r="E6" s="70"/>
      <c r="F6" s="71"/>
      <c r="G6" s="70"/>
      <c r="H6" s="72"/>
      <c r="I6" s="73"/>
    </row>
    <row r="7" spans="1:16" s="7" customFormat="1" ht="18" customHeight="1">
      <c r="A7" s="5">
        <v>2</v>
      </c>
      <c r="B7" s="30" t="s">
        <v>65</v>
      </c>
      <c r="C7" s="37">
        <v>35</v>
      </c>
      <c r="D7" s="69">
        <f>8750-4412</f>
        <v>4338</v>
      </c>
      <c r="E7" s="70">
        <v>35</v>
      </c>
      <c r="F7" s="71">
        <v>4338</v>
      </c>
      <c r="G7" s="70">
        <v>35</v>
      </c>
      <c r="H7" s="72">
        <v>4338</v>
      </c>
      <c r="I7" s="74">
        <f t="shared" ref="I7:I15" si="0">D7-F7</f>
        <v>0</v>
      </c>
      <c r="M7" s="30" t="s">
        <v>65</v>
      </c>
      <c r="N7" s="7">
        <v>8750</v>
      </c>
      <c r="P7" s="7">
        <v>4412</v>
      </c>
    </row>
    <row r="8" spans="1:16" s="7" customFormat="1" ht="18" customHeight="1">
      <c r="A8" s="5">
        <v>3</v>
      </c>
      <c r="B8" s="30" t="s">
        <v>66</v>
      </c>
      <c r="C8" s="37">
        <v>35</v>
      </c>
      <c r="D8" s="69">
        <f>14000-5600</f>
        <v>8400</v>
      </c>
      <c r="E8" s="70">
        <v>35</v>
      </c>
      <c r="F8" s="71">
        <v>8400</v>
      </c>
      <c r="G8" s="70">
        <v>35</v>
      </c>
      <c r="H8" s="72">
        <v>8400</v>
      </c>
      <c r="I8" s="74">
        <f t="shared" si="0"/>
        <v>0</v>
      </c>
      <c r="M8" s="30" t="s">
        <v>66</v>
      </c>
      <c r="N8" s="7">
        <v>14000</v>
      </c>
      <c r="P8" s="7">
        <v>5600</v>
      </c>
    </row>
    <row r="9" spans="1:16" s="7" customFormat="1" ht="18" customHeight="1">
      <c r="A9" s="5">
        <v>4</v>
      </c>
      <c r="B9" s="30" t="s">
        <v>67</v>
      </c>
      <c r="C9" s="37">
        <v>70</v>
      </c>
      <c r="D9" s="69">
        <f>25900+10012-800</f>
        <v>35112</v>
      </c>
      <c r="E9" s="70">
        <v>70</v>
      </c>
      <c r="F9" s="71">
        <f>23800+10801+511</f>
        <v>35112</v>
      </c>
      <c r="G9" s="70">
        <v>70</v>
      </c>
      <c r="H9" s="72">
        <f>23800+511+10801+800-800</f>
        <v>35112</v>
      </c>
      <c r="I9" s="74">
        <f>D9-F9</f>
        <v>0</v>
      </c>
      <c r="M9" s="30" t="s">
        <v>67</v>
      </c>
      <c r="N9" s="7">
        <v>25900</v>
      </c>
      <c r="P9" s="7">
        <v>788</v>
      </c>
    </row>
    <row r="10" spans="1:16" s="7" customFormat="1" ht="18" customHeight="1">
      <c r="A10" s="5">
        <v>5</v>
      </c>
      <c r="B10" s="30" t="s">
        <v>68</v>
      </c>
      <c r="C10" s="37">
        <v>35</v>
      </c>
      <c r="D10" s="69">
        <f>35000+7200+31650</f>
        <v>73850</v>
      </c>
      <c r="E10" s="70">
        <v>35</v>
      </c>
      <c r="F10" s="71">
        <f>42200+31650</f>
        <v>73850</v>
      </c>
      <c r="G10" s="70">
        <v>35</v>
      </c>
      <c r="H10" s="72">
        <v>73850</v>
      </c>
      <c r="I10" s="74">
        <f t="shared" si="0"/>
        <v>0</v>
      </c>
      <c r="M10" s="30" t="s">
        <v>69</v>
      </c>
      <c r="N10" s="7">
        <v>16000</v>
      </c>
      <c r="P10" s="7">
        <v>800</v>
      </c>
    </row>
    <row r="11" spans="1:16" s="7" customFormat="1" ht="18" customHeight="1">
      <c r="A11" s="5">
        <v>6</v>
      </c>
      <c r="B11" s="30" t="s">
        <v>69</v>
      </c>
      <c r="C11" s="37">
        <v>40</v>
      </c>
      <c r="D11" s="69">
        <v>16000</v>
      </c>
      <c r="E11" s="70">
        <v>40</v>
      </c>
      <c r="F11" s="71">
        <v>16000</v>
      </c>
      <c r="G11" s="70">
        <v>40</v>
      </c>
      <c r="H11" s="72">
        <v>16000</v>
      </c>
      <c r="I11" s="74">
        <f t="shared" si="0"/>
        <v>0</v>
      </c>
      <c r="M11" s="9" t="s">
        <v>91</v>
      </c>
      <c r="O11" s="7">
        <v>11600</v>
      </c>
    </row>
    <row r="12" spans="1:16" s="7" customFormat="1" ht="18" customHeight="1">
      <c r="A12" s="5">
        <v>7</v>
      </c>
      <c r="B12" s="9" t="s">
        <v>70</v>
      </c>
      <c r="C12" s="37">
        <v>10</v>
      </c>
      <c r="D12" s="69">
        <f>40000+2048</f>
        <v>42048</v>
      </c>
      <c r="E12" s="70">
        <v>12</v>
      </c>
      <c r="F12" s="71">
        <v>42048</v>
      </c>
      <c r="G12" s="70">
        <v>12</v>
      </c>
      <c r="H12" s="72">
        <v>42048</v>
      </c>
      <c r="I12" s="74">
        <f t="shared" si="0"/>
        <v>0</v>
      </c>
    </row>
    <row r="13" spans="1:16" s="7" customFormat="1" ht="18" customHeight="1">
      <c r="A13" s="5">
        <v>8</v>
      </c>
      <c r="B13" s="9" t="s">
        <v>104</v>
      </c>
      <c r="C13" s="37">
        <v>4</v>
      </c>
      <c r="D13" s="69">
        <v>16944</v>
      </c>
      <c r="E13" s="70">
        <v>4</v>
      </c>
      <c r="F13" s="71">
        <v>16944</v>
      </c>
      <c r="G13" s="70">
        <v>4</v>
      </c>
      <c r="H13" s="72">
        <v>16944</v>
      </c>
      <c r="I13" s="74">
        <f t="shared" si="0"/>
        <v>0</v>
      </c>
    </row>
    <row r="14" spans="1:16" s="7" customFormat="1" ht="18" customHeight="1">
      <c r="A14" s="5">
        <v>9</v>
      </c>
      <c r="B14" s="14" t="s">
        <v>113</v>
      </c>
      <c r="C14" s="114">
        <v>25</v>
      </c>
      <c r="D14" s="69">
        <v>117357</v>
      </c>
      <c r="E14" s="70">
        <v>25</v>
      </c>
      <c r="F14" s="71">
        <v>117357</v>
      </c>
      <c r="G14" s="70">
        <v>25</v>
      </c>
      <c r="H14" s="72">
        <v>117357</v>
      </c>
      <c r="I14" s="74">
        <f t="shared" si="0"/>
        <v>0</v>
      </c>
    </row>
    <row r="15" spans="1:16" s="7" customFormat="1" ht="18" customHeight="1">
      <c r="A15" s="5">
        <v>10</v>
      </c>
      <c r="B15" s="9" t="s">
        <v>91</v>
      </c>
      <c r="C15" s="37">
        <v>10</v>
      </c>
      <c r="D15" s="69">
        <v>11601</v>
      </c>
      <c r="E15" s="70">
        <v>10</v>
      </c>
      <c r="F15" s="71">
        <v>11601</v>
      </c>
      <c r="G15" s="70">
        <v>10</v>
      </c>
      <c r="H15" s="72">
        <v>11601</v>
      </c>
      <c r="I15" s="74">
        <f t="shared" si="0"/>
        <v>0</v>
      </c>
    </row>
    <row r="16" spans="1:16" s="7" customFormat="1" ht="21.75" customHeight="1">
      <c r="A16" s="8">
        <v>11</v>
      </c>
      <c r="B16" s="9" t="s">
        <v>71</v>
      </c>
      <c r="C16" s="37">
        <v>62</v>
      </c>
      <c r="D16" s="69">
        <f>446400-11601-16944-2048-7200-31650+800-117357</f>
        <v>260400</v>
      </c>
      <c r="E16" s="70">
        <v>62</v>
      </c>
      <c r="F16" s="71">
        <f>260400</f>
        <v>260400</v>
      </c>
      <c r="G16" s="70">
        <v>62</v>
      </c>
      <c r="H16" s="72">
        <f>260400</f>
        <v>260400</v>
      </c>
      <c r="I16" s="74">
        <f>D16-F16</f>
        <v>0</v>
      </c>
      <c r="J16" s="116"/>
      <c r="K16" s="117"/>
      <c r="L16" s="118"/>
    </row>
    <row r="17" spans="1:9" s="12" customFormat="1" ht="18.95" customHeight="1">
      <c r="A17" s="10"/>
      <c r="B17" s="11" t="s">
        <v>8</v>
      </c>
      <c r="C17" s="104"/>
      <c r="D17" s="105">
        <f>SUM(D7:D16)</f>
        <v>586050</v>
      </c>
      <c r="E17" s="104"/>
      <c r="F17" s="105">
        <f>SUM(F7:F16)</f>
        <v>586050</v>
      </c>
      <c r="G17" s="105">
        <f>SUM(G7:G16)</f>
        <v>328</v>
      </c>
      <c r="H17" s="105">
        <f>SUM(H7:H16)</f>
        <v>586050</v>
      </c>
      <c r="I17" s="106">
        <f>SUM(I7:I16)</f>
        <v>0</v>
      </c>
    </row>
    <row r="18" spans="1:9" s="7" customFormat="1" ht="18" customHeight="1">
      <c r="A18" s="8"/>
      <c r="B18" s="6" t="s">
        <v>9</v>
      </c>
      <c r="C18" s="37"/>
      <c r="D18" s="69"/>
      <c r="E18" s="70"/>
      <c r="F18" s="71"/>
      <c r="G18" s="70"/>
      <c r="H18" s="72"/>
      <c r="I18" s="73"/>
    </row>
    <row r="19" spans="1:9" s="7" customFormat="1" ht="18" customHeight="1">
      <c r="A19" s="8">
        <v>9</v>
      </c>
      <c r="B19" s="9" t="s">
        <v>10</v>
      </c>
      <c r="C19" s="37"/>
      <c r="D19" s="69"/>
      <c r="E19" s="70"/>
      <c r="F19" s="71"/>
      <c r="G19" s="70"/>
      <c r="H19" s="72"/>
      <c r="I19" s="74">
        <f t="shared" ref="I19:I24" si="1">D19-F19</f>
        <v>0</v>
      </c>
    </row>
    <row r="20" spans="1:9" s="7" customFormat="1" ht="37.5">
      <c r="A20" s="8">
        <v>10</v>
      </c>
      <c r="B20" s="13" t="s">
        <v>11</v>
      </c>
      <c r="C20" s="37">
        <v>1</v>
      </c>
      <c r="D20" s="29">
        <v>292320</v>
      </c>
      <c r="E20" s="70">
        <v>1</v>
      </c>
      <c r="F20" s="58">
        <f>162785+129535</f>
        <v>292320</v>
      </c>
      <c r="G20" s="70">
        <v>1</v>
      </c>
      <c r="H20" s="59">
        <v>292320</v>
      </c>
      <c r="I20" s="74">
        <f t="shared" si="1"/>
        <v>0</v>
      </c>
    </row>
    <row r="21" spans="1:9" s="7" customFormat="1" ht="18" customHeight="1">
      <c r="A21" s="8">
        <v>11</v>
      </c>
      <c r="B21" s="14" t="s">
        <v>12</v>
      </c>
      <c r="C21" s="37"/>
      <c r="D21" s="29"/>
      <c r="E21" s="70"/>
      <c r="F21" s="58"/>
      <c r="G21" s="70"/>
      <c r="H21" s="59"/>
      <c r="I21" s="74"/>
    </row>
    <row r="22" spans="1:9" s="7" customFormat="1" ht="38.25" customHeight="1">
      <c r="A22" s="8">
        <v>12</v>
      </c>
      <c r="B22" s="14" t="s">
        <v>13</v>
      </c>
      <c r="C22" s="37">
        <f>55+55+26</f>
        <v>136</v>
      </c>
      <c r="D22" s="29">
        <f>284520+151798+358902</f>
        <v>795220</v>
      </c>
      <c r="E22" s="70">
        <v>136</v>
      </c>
      <c r="F22" s="58">
        <f>284520+140063+11735+358902</f>
        <v>795220</v>
      </c>
      <c r="G22" s="70">
        <v>136</v>
      </c>
      <c r="H22" s="59">
        <v>795220</v>
      </c>
      <c r="I22" s="74">
        <f t="shared" si="1"/>
        <v>0</v>
      </c>
    </row>
    <row r="23" spans="1:9" s="3" customFormat="1" ht="37.5">
      <c r="A23" s="8">
        <v>13</v>
      </c>
      <c r="B23" s="15" t="s">
        <v>14</v>
      </c>
      <c r="C23" s="78">
        <v>1</v>
      </c>
      <c r="D23" s="79">
        <v>133096</v>
      </c>
      <c r="E23" s="78">
        <v>1</v>
      </c>
      <c r="F23" s="79">
        <v>133096</v>
      </c>
      <c r="G23" s="78">
        <v>1</v>
      </c>
      <c r="H23" s="80">
        <v>133096</v>
      </c>
      <c r="I23" s="74">
        <f t="shared" si="1"/>
        <v>0</v>
      </c>
    </row>
    <row r="24" spans="1:9" s="3" customFormat="1" ht="18.95" customHeight="1">
      <c r="A24" s="8">
        <v>14</v>
      </c>
      <c r="B24" s="16" t="s">
        <v>15</v>
      </c>
      <c r="C24" s="81"/>
      <c r="D24" s="79"/>
      <c r="E24" s="81"/>
      <c r="F24" s="82"/>
      <c r="G24" s="81"/>
      <c r="H24" s="83"/>
      <c r="I24" s="74">
        <f t="shared" si="1"/>
        <v>0</v>
      </c>
    </row>
    <row r="25" spans="1:9" s="12" customFormat="1" ht="18.95" customHeight="1">
      <c r="A25" s="10"/>
      <c r="B25" s="11" t="s">
        <v>8</v>
      </c>
      <c r="C25" s="104"/>
      <c r="D25" s="105">
        <f>SUM(D19:D24)</f>
        <v>1220636</v>
      </c>
      <c r="E25" s="104"/>
      <c r="F25" s="105">
        <f>SUM(F19:F24)</f>
        <v>1220636</v>
      </c>
      <c r="G25" s="104"/>
      <c r="H25" s="106">
        <f>SUM(H19:H24)</f>
        <v>1220636</v>
      </c>
      <c r="I25" s="106">
        <f>SUM(I19:I24)</f>
        <v>0</v>
      </c>
    </row>
    <row r="26" spans="1:9" s="18" customFormat="1" ht="18.95" customHeight="1">
      <c r="A26" s="8"/>
      <c r="B26" s="17" t="s">
        <v>16</v>
      </c>
      <c r="C26" s="75"/>
      <c r="D26" s="76"/>
      <c r="E26" s="75"/>
      <c r="F26" s="84"/>
      <c r="G26" s="75"/>
      <c r="H26" s="85"/>
      <c r="I26" s="86"/>
    </row>
    <row r="27" spans="1:9" s="3" customFormat="1" ht="18.75">
      <c r="A27" s="8">
        <v>8</v>
      </c>
      <c r="B27" s="16" t="s">
        <v>17</v>
      </c>
      <c r="C27" s="87">
        <f>150+200</f>
        <v>350</v>
      </c>
      <c r="D27" s="88">
        <f>39037+52200-24200</f>
        <v>67037</v>
      </c>
      <c r="E27" s="87">
        <v>350</v>
      </c>
      <c r="F27" s="82">
        <f>39037+28000</f>
        <v>67037</v>
      </c>
      <c r="G27" s="87">
        <v>350</v>
      </c>
      <c r="H27" s="83">
        <f>39037+28000</f>
        <v>67037</v>
      </c>
      <c r="I27" s="74">
        <f t="shared" ref="I27:I50" si="2">D27-F27</f>
        <v>0</v>
      </c>
    </row>
    <row r="28" spans="1:9" s="3" customFormat="1" ht="18" customHeight="1">
      <c r="A28" s="8">
        <v>9</v>
      </c>
      <c r="B28" s="22" t="s">
        <v>18</v>
      </c>
      <c r="C28" s="87">
        <v>105</v>
      </c>
      <c r="D28" s="88">
        <f>20800+26000-19500</f>
        <v>27300</v>
      </c>
      <c r="E28" s="87">
        <v>105</v>
      </c>
      <c r="F28" s="82">
        <f>20800+6500</f>
        <v>27300</v>
      </c>
      <c r="G28" s="87">
        <v>105</v>
      </c>
      <c r="H28" s="83">
        <f>20800+6500</f>
        <v>27300</v>
      </c>
      <c r="I28" s="74">
        <f t="shared" si="2"/>
        <v>0</v>
      </c>
    </row>
    <row r="29" spans="1:9" s="3" customFormat="1" ht="18" customHeight="1">
      <c r="A29" s="8">
        <v>10</v>
      </c>
      <c r="B29" s="22" t="s">
        <v>19</v>
      </c>
      <c r="C29" s="87">
        <v>150</v>
      </c>
      <c r="D29" s="88">
        <f>8395+16800</f>
        <v>25195</v>
      </c>
      <c r="E29" s="87">
        <v>150</v>
      </c>
      <c r="F29" s="82">
        <f>8395+16800</f>
        <v>25195</v>
      </c>
      <c r="G29" s="87">
        <v>150</v>
      </c>
      <c r="H29" s="83">
        <f>8395+16800</f>
        <v>25195</v>
      </c>
      <c r="I29" s="74">
        <f t="shared" si="2"/>
        <v>0</v>
      </c>
    </row>
    <row r="30" spans="1:9" s="3" customFormat="1" ht="18" customHeight="1">
      <c r="A30" s="8">
        <v>11</v>
      </c>
      <c r="B30" s="22" t="s">
        <v>20</v>
      </c>
      <c r="C30" s="87"/>
      <c r="D30" s="88"/>
      <c r="E30" s="78"/>
      <c r="F30" s="82"/>
      <c r="G30" s="78"/>
      <c r="H30" s="83"/>
      <c r="I30" s="74">
        <f t="shared" si="2"/>
        <v>0</v>
      </c>
    </row>
    <row r="31" spans="1:9" s="3" customFormat="1" ht="18" customHeight="1">
      <c r="A31" s="8">
        <v>12</v>
      </c>
      <c r="B31" s="22" t="s">
        <v>21</v>
      </c>
      <c r="C31" s="87">
        <f>11000-1308</f>
        <v>9692</v>
      </c>
      <c r="D31" s="88">
        <f>816000-97000+2995</f>
        <v>721995</v>
      </c>
      <c r="E31" s="78">
        <v>9692</v>
      </c>
      <c r="F31" s="82">
        <f>216000+505995</f>
        <v>721995</v>
      </c>
      <c r="G31" s="78">
        <v>9692</v>
      </c>
      <c r="H31" s="83">
        <f>216000+505995</f>
        <v>721995</v>
      </c>
      <c r="I31" s="74">
        <f t="shared" si="2"/>
        <v>0</v>
      </c>
    </row>
    <row r="32" spans="1:9" s="3" customFormat="1" ht="18" customHeight="1">
      <c r="A32" s="8">
        <v>13</v>
      </c>
      <c r="B32" s="22" t="s">
        <v>22</v>
      </c>
      <c r="C32" s="87"/>
      <c r="D32" s="88"/>
      <c r="E32" s="78"/>
      <c r="F32" s="82"/>
      <c r="G32" s="78"/>
      <c r="H32" s="83"/>
      <c r="I32" s="74">
        <f t="shared" si="2"/>
        <v>0</v>
      </c>
    </row>
    <row r="33" spans="1:11" s="3" customFormat="1" ht="37.5">
      <c r="A33" s="8">
        <v>14</v>
      </c>
      <c r="B33" s="22" t="s">
        <v>23</v>
      </c>
      <c r="C33" s="87">
        <v>90</v>
      </c>
      <c r="D33" s="88">
        <f>35100+78000-78000</f>
        <v>35100</v>
      </c>
      <c r="E33" s="78">
        <v>90</v>
      </c>
      <c r="F33" s="82">
        <v>35100</v>
      </c>
      <c r="G33" s="78">
        <v>90</v>
      </c>
      <c r="H33" s="83">
        <v>35100</v>
      </c>
      <c r="I33" s="74">
        <f t="shared" si="2"/>
        <v>0</v>
      </c>
    </row>
    <row r="34" spans="1:11" s="3" customFormat="1" ht="37.5">
      <c r="A34" s="8">
        <v>15</v>
      </c>
      <c r="B34" s="16" t="s">
        <v>24</v>
      </c>
      <c r="C34" s="87">
        <v>15</v>
      </c>
      <c r="D34" s="88">
        <f>4983+664000-664000</f>
        <v>4983</v>
      </c>
      <c r="E34" s="78">
        <v>15</v>
      </c>
      <c r="F34" s="82">
        <v>4983</v>
      </c>
      <c r="G34" s="78">
        <v>15</v>
      </c>
      <c r="H34" s="83">
        <v>4983</v>
      </c>
      <c r="I34" s="74">
        <f t="shared" si="2"/>
        <v>0</v>
      </c>
    </row>
    <row r="35" spans="1:11" s="3" customFormat="1" ht="18.75">
      <c r="A35" s="8">
        <v>16</v>
      </c>
      <c r="B35" s="16" t="s">
        <v>25</v>
      </c>
      <c r="C35" s="87">
        <v>13225</v>
      </c>
      <c r="D35" s="88">
        <f>2407500+2656000-1652523-43477</f>
        <v>3367500</v>
      </c>
      <c r="E35" s="78">
        <f>7225+6000</f>
        <v>13225</v>
      </c>
      <c r="F35" s="82">
        <f>2407500+960000</f>
        <v>3367500</v>
      </c>
      <c r="G35" s="78">
        <v>13225</v>
      </c>
      <c r="H35" s="83">
        <v>3367500</v>
      </c>
      <c r="I35" s="74">
        <f t="shared" si="2"/>
        <v>0</v>
      </c>
    </row>
    <row r="36" spans="1:11" s="3" customFormat="1" ht="37.5">
      <c r="A36" s="8">
        <v>17</v>
      </c>
      <c r="B36" s="16" t="s">
        <v>26</v>
      </c>
      <c r="C36" s="87">
        <v>300</v>
      </c>
      <c r="D36" s="88">
        <f>1660000-2500-73007-621110-879383</f>
        <v>84000</v>
      </c>
      <c r="E36" s="78">
        <v>300</v>
      </c>
      <c r="F36" s="82">
        <v>84000</v>
      </c>
      <c r="G36" s="78">
        <v>300</v>
      </c>
      <c r="H36" s="83">
        <v>84000</v>
      </c>
      <c r="I36" s="74">
        <f t="shared" si="2"/>
        <v>0</v>
      </c>
    </row>
    <row r="37" spans="1:11" s="3" customFormat="1" ht="18.75">
      <c r="A37" s="8">
        <v>18</v>
      </c>
      <c r="B37" s="16" t="s">
        <v>27</v>
      </c>
      <c r="C37" s="87">
        <f>1315+10000-5000</f>
        <v>6315</v>
      </c>
      <c r="D37" s="88">
        <f>216975+1650000-573304-543860-358902-173934</f>
        <v>216975</v>
      </c>
      <c r="E37" s="78">
        <v>1315</v>
      </c>
      <c r="F37" s="82">
        <v>216975</v>
      </c>
      <c r="G37" s="78">
        <v>1315</v>
      </c>
      <c r="H37" s="83">
        <v>216975</v>
      </c>
      <c r="I37" s="74">
        <f t="shared" si="2"/>
        <v>0</v>
      </c>
    </row>
    <row r="38" spans="1:11" s="3" customFormat="1" ht="24" customHeight="1">
      <c r="A38" s="8">
        <v>19</v>
      </c>
      <c r="B38" s="19" t="s">
        <v>28</v>
      </c>
      <c r="C38" s="88">
        <f>C39+C40+C41+C42+C43+C44</f>
        <v>134401</v>
      </c>
      <c r="D38" s="88">
        <f>D39+D40+D41+D42+D43+D44</f>
        <v>415749</v>
      </c>
      <c r="E38" s="88">
        <f t="shared" ref="E38:H38" si="3">E39+E40+E41+E42+E43+E44</f>
        <v>58891</v>
      </c>
      <c r="F38" s="88">
        <f t="shared" si="3"/>
        <v>415749</v>
      </c>
      <c r="G38" s="88">
        <f t="shared" si="3"/>
        <v>58891</v>
      </c>
      <c r="H38" s="88">
        <f t="shared" si="3"/>
        <v>415749</v>
      </c>
      <c r="I38" s="74">
        <f t="shared" si="2"/>
        <v>0</v>
      </c>
    </row>
    <row r="39" spans="1:11" s="3" customFormat="1" ht="18.75">
      <c r="A39" s="8"/>
      <c r="B39" s="20" t="s">
        <v>29</v>
      </c>
      <c r="C39" s="89">
        <v>34695</v>
      </c>
      <c r="D39" s="90">
        <f>173472-39370-2400-58230</f>
        <v>73472</v>
      </c>
      <c r="E39" s="91">
        <v>14695</v>
      </c>
      <c r="F39" s="92">
        <v>73472</v>
      </c>
      <c r="G39" s="91">
        <v>14695</v>
      </c>
      <c r="H39" s="92">
        <v>73472</v>
      </c>
      <c r="I39" s="74">
        <f t="shared" si="2"/>
        <v>0</v>
      </c>
      <c r="J39" s="3">
        <v>5</v>
      </c>
    </row>
    <row r="40" spans="1:11" s="3" customFormat="1" ht="18.75">
      <c r="A40" s="8"/>
      <c r="B40" s="20" t="s">
        <v>30</v>
      </c>
      <c r="C40" s="89">
        <v>44001</v>
      </c>
      <c r="D40" s="90">
        <f>110003-100000</f>
        <v>10003</v>
      </c>
      <c r="E40" s="91">
        <v>4001</v>
      </c>
      <c r="F40" s="92">
        <v>10003</v>
      </c>
      <c r="G40" s="91">
        <v>4001</v>
      </c>
      <c r="H40" s="92">
        <v>10003</v>
      </c>
      <c r="I40" s="74">
        <f t="shared" si="2"/>
        <v>0</v>
      </c>
    </row>
    <row r="41" spans="1:11" s="3" customFormat="1" ht="18.75">
      <c r="A41" s="8"/>
      <c r="B41" s="20" t="s">
        <v>31</v>
      </c>
      <c r="C41" s="89">
        <v>17286</v>
      </c>
      <c r="D41" s="90">
        <f>121000-7960</f>
        <v>113040</v>
      </c>
      <c r="E41" s="91">
        <f>3000+2000+100+300+115</f>
        <v>5515</v>
      </c>
      <c r="F41" s="92">
        <f>21000+64000+5200+21000+1840</f>
        <v>113040</v>
      </c>
      <c r="G41" s="91">
        <v>5515</v>
      </c>
      <c r="H41" s="92">
        <v>113040</v>
      </c>
      <c r="I41" s="74">
        <f t="shared" si="2"/>
        <v>0</v>
      </c>
    </row>
    <row r="42" spans="1:11" s="3" customFormat="1" ht="18.75">
      <c r="A42" s="8"/>
      <c r="B42" s="20" t="s">
        <v>32</v>
      </c>
      <c r="C42" s="89">
        <f>16550+21739</f>
        <v>38289</v>
      </c>
      <c r="D42" s="90">
        <f>174964+39370</f>
        <v>214334</v>
      </c>
      <c r="E42" s="91">
        <f>16550+5000+13000</f>
        <v>34550</v>
      </c>
      <c r="F42" s="92">
        <f>74964+31000+108370</f>
        <v>214334</v>
      </c>
      <c r="G42" s="91">
        <v>34550</v>
      </c>
      <c r="H42" s="92">
        <v>214334</v>
      </c>
      <c r="I42" s="74">
        <f t="shared" si="2"/>
        <v>0</v>
      </c>
      <c r="K42" s="3">
        <v>6.2</v>
      </c>
    </row>
    <row r="43" spans="1:11" s="3" customFormat="1" ht="18.75">
      <c r="A43" s="8"/>
      <c r="B43" s="20" t="s">
        <v>33</v>
      </c>
      <c r="C43" s="89">
        <v>130</v>
      </c>
      <c r="D43" s="90">
        <f>2500+2400</f>
        <v>4900</v>
      </c>
      <c r="E43" s="91">
        <f>50+80</f>
        <v>130</v>
      </c>
      <c r="F43" s="92">
        <f>2500+2400</f>
        <v>4900</v>
      </c>
      <c r="G43" s="91">
        <v>130</v>
      </c>
      <c r="H43" s="92">
        <v>4900</v>
      </c>
      <c r="I43" s="74">
        <f t="shared" si="2"/>
        <v>0</v>
      </c>
    </row>
    <row r="44" spans="1:11" s="3" customFormat="1" ht="18.75">
      <c r="A44" s="8"/>
      <c r="B44" s="20" t="s">
        <v>34</v>
      </c>
      <c r="C44" s="89"/>
      <c r="D44" s="90"/>
      <c r="E44" s="91"/>
      <c r="F44" s="92"/>
      <c r="G44" s="91"/>
      <c r="H44" s="92"/>
      <c r="I44" s="74">
        <f t="shared" si="2"/>
        <v>0</v>
      </c>
    </row>
    <row r="45" spans="1:11" s="3" customFormat="1" ht="18.75">
      <c r="A45" s="8">
        <v>20</v>
      </c>
      <c r="B45" s="16" t="s">
        <v>35</v>
      </c>
      <c r="C45" s="87"/>
      <c r="D45" s="88"/>
      <c r="E45" s="78"/>
      <c r="F45" s="82"/>
      <c r="G45" s="78"/>
      <c r="H45" s="83"/>
      <c r="I45" s="74">
        <f t="shared" si="2"/>
        <v>0</v>
      </c>
    </row>
    <row r="46" spans="1:11" s="3" customFormat="1" ht="18.75">
      <c r="A46" s="8">
        <v>21</v>
      </c>
      <c r="B46" s="16" t="s">
        <v>36</v>
      </c>
      <c r="C46" s="87">
        <v>1706</v>
      </c>
      <c r="D46" s="88">
        <v>76696</v>
      </c>
      <c r="E46" s="78">
        <v>1706</v>
      </c>
      <c r="F46" s="82">
        <v>76696</v>
      </c>
      <c r="G46" s="78">
        <v>1706</v>
      </c>
      <c r="H46" s="83">
        <v>76696</v>
      </c>
      <c r="I46" s="74">
        <f t="shared" si="2"/>
        <v>0</v>
      </c>
    </row>
    <row r="47" spans="1:11" s="3" customFormat="1" ht="18.75">
      <c r="A47" s="8">
        <v>22</v>
      </c>
      <c r="B47" s="115" t="s">
        <v>37</v>
      </c>
      <c r="C47" s="87">
        <f>858+1056</f>
        <v>1914</v>
      </c>
      <c r="D47" s="88">
        <f>121605+150000</f>
        <v>271605</v>
      </c>
      <c r="E47" s="78">
        <v>1914</v>
      </c>
      <c r="F47" s="82">
        <f>121605+150000</f>
        <v>271605</v>
      </c>
      <c r="G47" s="78">
        <v>1914</v>
      </c>
      <c r="H47" s="83">
        <f>121605+150000</f>
        <v>271605</v>
      </c>
      <c r="I47" s="74">
        <f>D47-F47</f>
        <v>0</v>
      </c>
    </row>
    <row r="48" spans="1:11" s="3" customFormat="1" ht="18.75">
      <c r="A48" s="8">
        <v>23</v>
      </c>
      <c r="B48" s="115" t="s">
        <v>38</v>
      </c>
      <c r="C48" s="87">
        <f>1611+732</f>
        <v>2343</v>
      </c>
      <c r="D48" s="88">
        <f>330356+150000-300</f>
        <v>480056</v>
      </c>
      <c r="E48" s="78">
        <v>2342</v>
      </c>
      <c r="F48" s="82">
        <f>330356+149700</f>
        <v>480056</v>
      </c>
      <c r="G48" s="78">
        <v>2342</v>
      </c>
      <c r="H48" s="83">
        <f>330356+149700</f>
        <v>480056</v>
      </c>
      <c r="I48" s="74">
        <f t="shared" si="2"/>
        <v>0</v>
      </c>
    </row>
    <row r="49" spans="1:10" s="3" customFormat="1" ht="37.5">
      <c r="A49" s="8">
        <v>24</v>
      </c>
      <c r="B49" s="16" t="s">
        <v>39</v>
      </c>
      <c r="C49" s="87">
        <v>2916</v>
      </c>
      <c r="D49" s="88">
        <f>406524+52109+900000-2995+573304+73007+1652523+621110+2228220+364624</f>
        <v>6868426</v>
      </c>
      <c r="E49" s="78">
        <v>2916</v>
      </c>
      <c r="F49" s="82">
        <f>206524+252109+341907+20000+1108402+73007+1652523+621110+2204020+24200+364624</f>
        <v>6868426</v>
      </c>
      <c r="G49" s="78">
        <v>2916</v>
      </c>
      <c r="H49" s="83">
        <v>6868426</v>
      </c>
      <c r="I49" s="74">
        <f t="shared" si="2"/>
        <v>0</v>
      </c>
    </row>
    <row r="50" spans="1:10" s="3" customFormat="1" ht="18" customHeight="1">
      <c r="A50" s="8">
        <v>25</v>
      </c>
      <c r="B50" s="16" t="s">
        <v>40</v>
      </c>
      <c r="C50" s="78"/>
      <c r="D50" s="79"/>
      <c r="E50" s="78"/>
      <c r="F50" s="82"/>
      <c r="G50" s="78"/>
      <c r="H50" s="83"/>
      <c r="I50" s="74">
        <f t="shared" si="2"/>
        <v>0</v>
      </c>
    </row>
    <row r="51" spans="1:10" s="3" customFormat="1" ht="24.95" customHeight="1">
      <c r="A51" s="10"/>
      <c r="B51" s="11" t="s">
        <v>8</v>
      </c>
      <c r="C51" s="107"/>
      <c r="D51" s="105">
        <f>SUM(D27:D38)+D45+D46+D47+D48+D49+D50</f>
        <v>12662617</v>
      </c>
      <c r="E51" s="105">
        <f t="shared" ref="E51:I51" si="4">SUM(E27:E38)+E45+E46+E47+E48+E49+E50</f>
        <v>93011</v>
      </c>
      <c r="F51" s="105">
        <f t="shared" si="4"/>
        <v>12662617</v>
      </c>
      <c r="G51" s="105">
        <f t="shared" si="4"/>
        <v>93011</v>
      </c>
      <c r="H51" s="106">
        <f>SUM(H27:H38)+H45+H46+H47+H48+H49+H50</f>
        <v>12662617</v>
      </c>
      <c r="I51" s="106">
        <f t="shared" si="4"/>
        <v>0</v>
      </c>
    </row>
    <row r="52" spans="1:10" s="21" customFormat="1" ht="24.95" customHeight="1">
      <c r="A52" s="8"/>
      <c r="B52" s="17" t="s">
        <v>41</v>
      </c>
      <c r="C52" s="93"/>
      <c r="D52" s="76"/>
      <c r="E52" s="93"/>
      <c r="F52" s="94"/>
      <c r="G52" s="93"/>
      <c r="H52" s="83"/>
      <c r="I52" s="95"/>
    </row>
    <row r="53" spans="1:10" s="3" customFormat="1" ht="18" customHeight="1">
      <c r="A53" s="8">
        <v>26</v>
      </c>
      <c r="B53" s="22" t="s">
        <v>42</v>
      </c>
      <c r="C53" s="78"/>
      <c r="D53" s="96"/>
      <c r="E53" s="97"/>
      <c r="F53" s="29"/>
      <c r="G53" s="98"/>
      <c r="H53" s="24"/>
      <c r="I53" s="74">
        <f t="shared" ref="I53:I54" si="5">D53-F53</f>
        <v>0</v>
      </c>
    </row>
    <row r="54" spans="1:10" s="3" customFormat="1" ht="18.75">
      <c r="A54" s="8">
        <v>27</v>
      </c>
      <c r="B54" s="22" t="s">
        <v>43</v>
      </c>
      <c r="C54" s="78"/>
      <c r="D54" s="96"/>
      <c r="E54" s="97"/>
      <c r="F54" s="29"/>
      <c r="G54" s="98"/>
      <c r="H54" s="24"/>
      <c r="I54" s="74">
        <f t="shared" si="5"/>
        <v>0</v>
      </c>
    </row>
    <row r="55" spans="1:10" s="3" customFormat="1" ht="18" customHeight="1">
      <c r="A55" s="8">
        <v>28</v>
      </c>
      <c r="B55" s="23" t="s">
        <v>44</v>
      </c>
      <c r="C55" s="78">
        <v>6</v>
      </c>
      <c r="D55" s="113">
        <f>240000-190160+86624+10000+5000+99216</f>
        <v>250680</v>
      </c>
      <c r="E55" s="97">
        <v>6</v>
      </c>
      <c r="F55" s="29">
        <f>83560+167120</f>
        <v>250680</v>
      </c>
      <c r="G55" s="98">
        <v>6</v>
      </c>
      <c r="H55" s="24">
        <v>250680</v>
      </c>
      <c r="I55" s="74">
        <f>D55-F55</f>
        <v>0</v>
      </c>
      <c r="J55" s="3" t="s">
        <v>106</v>
      </c>
    </row>
    <row r="56" spans="1:10" s="3" customFormat="1" ht="18" hidden="1" customHeight="1">
      <c r="A56" s="8">
        <v>29</v>
      </c>
      <c r="B56" s="23"/>
      <c r="C56" s="78"/>
      <c r="D56" s="29"/>
      <c r="E56" s="97"/>
      <c r="F56" s="29"/>
      <c r="G56" s="98"/>
      <c r="H56" s="24"/>
      <c r="I56" s="74">
        <f t="shared" ref="I56:I60" si="6">D56-F56</f>
        <v>0</v>
      </c>
    </row>
    <row r="57" spans="1:10" s="3" customFormat="1" ht="18" customHeight="1">
      <c r="A57" s="8">
        <v>30</v>
      </c>
      <c r="B57" s="23" t="s">
        <v>45</v>
      </c>
      <c r="C57" s="78">
        <v>6</v>
      </c>
      <c r="D57" s="113">
        <f>294000-8000-99216</f>
        <v>186784</v>
      </c>
      <c r="E57" s="97">
        <v>3</v>
      </c>
      <c r="F57" s="29">
        <f>167400+19384</f>
        <v>186784</v>
      </c>
      <c r="G57" s="98">
        <v>3</v>
      </c>
      <c r="H57" s="24">
        <f>167400+19384</f>
        <v>186784</v>
      </c>
      <c r="I57" s="74">
        <f t="shared" si="6"/>
        <v>0</v>
      </c>
      <c r="J57" s="3" t="s">
        <v>108</v>
      </c>
    </row>
    <row r="58" spans="1:10" s="3" customFormat="1" ht="21" customHeight="1">
      <c r="A58" s="8">
        <v>31</v>
      </c>
      <c r="B58" s="23" t="s">
        <v>46</v>
      </c>
      <c r="C58" s="78">
        <v>1</v>
      </c>
      <c r="D58" s="29">
        <v>2850000</v>
      </c>
      <c r="E58" s="97">
        <v>1</v>
      </c>
      <c r="F58" s="29">
        <v>2850000</v>
      </c>
      <c r="G58" s="98">
        <v>1</v>
      </c>
      <c r="H58" s="24">
        <v>2850000</v>
      </c>
      <c r="I58" s="74">
        <f t="shared" si="6"/>
        <v>0</v>
      </c>
    </row>
    <row r="59" spans="1:10" s="3" customFormat="1" ht="18" customHeight="1">
      <c r="A59" s="8">
        <v>32</v>
      </c>
      <c r="B59" s="23" t="s">
        <v>47</v>
      </c>
      <c r="C59" s="78">
        <v>3</v>
      </c>
      <c r="D59" s="113">
        <v>81000</v>
      </c>
      <c r="E59" s="97">
        <v>3</v>
      </c>
      <c r="F59" s="29">
        <v>81000</v>
      </c>
      <c r="G59" s="98">
        <v>3</v>
      </c>
      <c r="H59" s="24">
        <v>81000</v>
      </c>
      <c r="I59" s="74">
        <f t="shared" si="6"/>
        <v>0</v>
      </c>
      <c r="J59" s="3" t="s">
        <v>107</v>
      </c>
    </row>
    <row r="60" spans="1:10" s="3" customFormat="1" ht="18" customHeight="1">
      <c r="A60" s="8">
        <v>33</v>
      </c>
      <c r="B60" s="23" t="s">
        <v>48</v>
      </c>
      <c r="C60" s="78">
        <v>1</v>
      </c>
      <c r="D60" s="112">
        <f>918400-83560-3064</f>
        <v>831776</v>
      </c>
      <c r="E60" s="97">
        <v>1</v>
      </c>
      <c r="F60" s="29">
        <v>831776</v>
      </c>
      <c r="G60" s="98">
        <v>1</v>
      </c>
      <c r="H60" s="24">
        <v>831776</v>
      </c>
      <c r="I60" s="74">
        <f t="shared" si="6"/>
        <v>0</v>
      </c>
      <c r="J60" s="3" t="s">
        <v>107</v>
      </c>
    </row>
    <row r="61" spans="1:10" s="3" customFormat="1" ht="18" customHeight="1">
      <c r="A61" s="8">
        <v>34</v>
      </c>
      <c r="B61" s="23" t="s">
        <v>49</v>
      </c>
      <c r="C61" s="78"/>
      <c r="D61" s="79"/>
      <c r="E61" s="97"/>
      <c r="F61" s="29"/>
      <c r="G61" s="98"/>
      <c r="H61" s="24"/>
      <c r="I61" s="74"/>
    </row>
    <row r="62" spans="1:10" s="3" customFormat="1" ht="18" customHeight="1">
      <c r="A62" s="8"/>
      <c r="B62" s="23" t="s">
        <v>73</v>
      </c>
      <c r="C62" s="78"/>
      <c r="D62" s="79"/>
      <c r="E62" s="97"/>
      <c r="F62" s="29"/>
      <c r="G62" s="98"/>
      <c r="H62" s="24"/>
      <c r="I62" s="74"/>
    </row>
    <row r="63" spans="1:10" s="3" customFormat="1" ht="18" customHeight="1">
      <c r="A63" s="8">
        <v>36</v>
      </c>
      <c r="B63" s="23" t="s">
        <v>50</v>
      </c>
      <c r="C63" s="78"/>
      <c r="D63" s="79"/>
      <c r="E63" s="97"/>
      <c r="F63" s="29"/>
      <c r="G63" s="98"/>
      <c r="H63" s="24"/>
      <c r="I63" s="74">
        <f t="shared" ref="I63:I89" si="7">D62-F63</f>
        <v>0</v>
      </c>
    </row>
    <row r="64" spans="1:10" s="3" customFormat="1" ht="18" customHeight="1">
      <c r="A64" s="8">
        <v>37</v>
      </c>
      <c r="B64" s="23" t="s">
        <v>51</v>
      </c>
      <c r="C64" s="78">
        <v>3</v>
      </c>
      <c r="D64" s="79">
        <f>24000-24000</f>
        <v>0</v>
      </c>
      <c r="E64" s="97"/>
      <c r="F64" s="29"/>
      <c r="G64" s="98"/>
      <c r="H64" s="24"/>
      <c r="I64" s="74">
        <f>D64-F64</f>
        <v>0</v>
      </c>
    </row>
    <row r="65" spans="1:11" s="3" customFormat="1" ht="18" customHeight="1">
      <c r="A65" s="8">
        <v>38</v>
      </c>
      <c r="B65" s="23" t="s">
        <v>52</v>
      </c>
      <c r="C65" s="78"/>
      <c r="D65" s="79"/>
      <c r="E65" s="78"/>
      <c r="F65" s="24"/>
      <c r="G65" s="78"/>
      <c r="H65" s="24"/>
      <c r="I65" s="74">
        <f t="shared" ref="I65:I70" si="8">D65-F65</f>
        <v>0</v>
      </c>
    </row>
    <row r="66" spans="1:11" s="3" customFormat="1" ht="41.25" customHeight="1">
      <c r="A66" s="8">
        <v>39</v>
      </c>
      <c r="B66" s="25" t="s">
        <v>53</v>
      </c>
      <c r="C66" s="78">
        <v>1</v>
      </c>
      <c r="D66" s="112">
        <f>250000+48000</f>
        <v>298000</v>
      </c>
      <c r="E66" s="78">
        <v>1</v>
      </c>
      <c r="F66" s="24">
        <v>298000</v>
      </c>
      <c r="G66" s="78">
        <v>1</v>
      </c>
      <c r="H66" s="24">
        <v>298000</v>
      </c>
      <c r="I66" s="74">
        <f t="shared" si="8"/>
        <v>0</v>
      </c>
      <c r="J66" s="3" t="s">
        <v>106</v>
      </c>
    </row>
    <row r="67" spans="1:11" s="3" customFormat="1" ht="21.75" customHeight="1">
      <c r="A67" s="8">
        <v>40</v>
      </c>
      <c r="B67" s="25" t="s">
        <v>54</v>
      </c>
      <c r="C67" s="78">
        <v>4</v>
      </c>
      <c r="D67" s="112">
        <f>128000-101100</f>
        <v>26900</v>
      </c>
      <c r="E67" s="78">
        <v>2</v>
      </c>
      <c r="F67" s="24">
        <v>26900</v>
      </c>
      <c r="G67" s="78">
        <v>2</v>
      </c>
      <c r="H67" s="24">
        <v>26900</v>
      </c>
      <c r="I67" s="74">
        <f t="shared" si="8"/>
        <v>0</v>
      </c>
      <c r="J67" s="3" t="s">
        <v>106</v>
      </c>
    </row>
    <row r="68" spans="1:11" s="3" customFormat="1" ht="21.75" customHeight="1">
      <c r="A68" s="8"/>
      <c r="B68" s="25" t="s">
        <v>74</v>
      </c>
      <c r="C68" s="78"/>
      <c r="D68" s="79"/>
      <c r="E68" s="78"/>
      <c r="F68" s="24"/>
      <c r="G68" s="78"/>
      <c r="H68" s="24"/>
      <c r="I68" s="74">
        <f t="shared" si="8"/>
        <v>0</v>
      </c>
    </row>
    <row r="69" spans="1:11" s="3" customFormat="1" ht="21.75" customHeight="1">
      <c r="A69" s="8"/>
      <c r="B69" s="25" t="s">
        <v>75</v>
      </c>
      <c r="C69" s="78">
        <v>3</v>
      </c>
      <c r="D69" s="112">
        <v>2385000</v>
      </c>
      <c r="E69" s="78">
        <v>3</v>
      </c>
      <c r="F69" s="24">
        <v>2385000</v>
      </c>
      <c r="G69" s="78">
        <v>3</v>
      </c>
      <c r="H69" s="24">
        <v>2385000</v>
      </c>
      <c r="I69" s="74">
        <f t="shared" si="8"/>
        <v>0</v>
      </c>
      <c r="J69" s="3" t="s">
        <v>110</v>
      </c>
    </row>
    <row r="70" spans="1:11" s="3" customFormat="1" ht="21.75" customHeight="1">
      <c r="A70" s="8"/>
      <c r="B70" s="25" t="s">
        <v>76</v>
      </c>
      <c r="C70" s="78"/>
      <c r="D70" s="79"/>
      <c r="E70" s="78"/>
      <c r="F70" s="24"/>
      <c r="G70" s="78"/>
      <c r="H70" s="24"/>
      <c r="I70" s="74">
        <f t="shared" si="8"/>
        <v>0</v>
      </c>
    </row>
    <row r="71" spans="1:11" s="3" customFormat="1" ht="21.75" customHeight="1">
      <c r="A71" s="8"/>
      <c r="B71" s="25" t="s">
        <v>77</v>
      </c>
      <c r="C71" s="78"/>
      <c r="D71" s="79"/>
      <c r="E71" s="78"/>
      <c r="F71" s="24"/>
      <c r="G71" s="78"/>
      <c r="H71" s="24"/>
      <c r="I71" s="74">
        <f t="shared" si="7"/>
        <v>0</v>
      </c>
    </row>
    <row r="72" spans="1:11" s="3" customFormat="1" ht="21.75" customHeight="1">
      <c r="A72" s="8"/>
      <c r="B72" s="25" t="s">
        <v>78</v>
      </c>
      <c r="C72" s="78"/>
      <c r="D72" s="79"/>
      <c r="E72" s="78"/>
      <c r="F72" s="24"/>
      <c r="G72" s="78"/>
      <c r="H72" s="24"/>
      <c r="I72" s="74">
        <f t="shared" si="7"/>
        <v>0</v>
      </c>
    </row>
    <row r="73" spans="1:11" s="3" customFormat="1" ht="21.75" customHeight="1">
      <c r="A73" s="8"/>
      <c r="B73" s="25" t="s">
        <v>79</v>
      </c>
      <c r="C73" s="78"/>
      <c r="D73" s="79"/>
      <c r="E73" s="78"/>
      <c r="F73" s="24"/>
      <c r="G73" s="78"/>
      <c r="H73" s="24"/>
      <c r="I73" s="74">
        <f t="shared" si="7"/>
        <v>0</v>
      </c>
    </row>
    <row r="74" spans="1:11" s="3" customFormat="1" ht="21.75" customHeight="1">
      <c r="A74" s="8"/>
      <c r="B74" s="25" t="s">
        <v>80</v>
      </c>
      <c r="C74" s="78"/>
      <c r="D74" s="79"/>
      <c r="E74" s="78"/>
      <c r="F74" s="24"/>
      <c r="G74" s="78"/>
      <c r="H74" s="24"/>
      <c r="I74" s="74">
        <f t="shared" si="7"/>
        <v>0</v>
      </c>
    </row>
    <row r="75" spans="1:11" s="3" customFormat="1" ht="21.75" customHeight="1">
      <c r="A75" s="8"/>
      <c r="B75" s="23" t="s">
        <v>60</v>
      </c>
      <c r="C75" s="78">
        <v>5</v>
      </c>
      <c r="D75" s="112">
        <f>202500-5000</f>
        <v>197500</v>
      </c>
      <c r="E75" s="78">
        <v>5</v>
      </c>
      <c r="F75" s="24">
        <v>197500</v>
      </c>
      <c r="G75" s="78">
        <v>5</v>
      </c>
      <c r="H75" s="24">
        <v>197500</v>
      </c>
      <c r="I75" s="74">
        <f>D75-F75</f>
        <v>0</v>
      </c>
      <c r="J75" s="3" t="s">
        <v>110</v>
      </c>
    </row>
    <row r="76" spans="1:11" s="3" customFormat="1" ht="21.75" customHeight="1">
      <c r="A76" s="8"/>
      <c r="B76" s="25" t="s">
        <v>81</v>
      </c>
      <c r="C76" s="78"/>
      <c r="D76" s="79"/>
      <c r="E76" s="78"/>
      <c r="F76" s="24"/>
      <c r="G76" s="78"/>
      <c r="H76" s="24"/>
      <c r="I76" s="74">
        <f t="shared" ref="I76:I81" si="9">D76-F76</f>
        <v>0</v>
      </c>
    </row>
    <row r="77" spans="1:11" s="3" customFormat="1" ht="21.75" customHeight="1">
      <c r="A77" s="8"/>
      <c r="B77" s="23" t="s">
        <v>61</v>
      </c>
      <c r="C77" s="78">
        <v>45</v>
      </c>
      <c r="D77" s="112">
        <f>765000+100000+24000+8000</f>
        <v>897000</v>
      </c>
      <c r="E77" s="78">
        <v>45</v>
      </c>
      <c r="F77" s="24">
        <v>897000</v>
      </c>
      <c r="G77" s="78">
        <v>45</v>
      </c>
      <c r="H77" s="24">
        <v>897000</v>
      </c>
      <c r="I77" s="74">
        <f t="shared" si="9"/>
        <v>0</v>
      </c>
      <c r="J77" s="3" t="s">
        <v>111</v>
      </c>
      <c r="K77" s="3" t="s">
        <v>112</v>
      </c>
    </row>
    <row r="78" spans="1:11" s="3" customFormat="1" ht="21.75" customHeight="1">
      <c r="A78" s="8"/>
      <c r="B78" s="23" t="s">
        <v>62</v>
      </c>
      <c r="C78" s="78">
        <v>6</v>
      </c>
      <c r="D78" s="112">
        <f>190000-10000</f>
        <v>180000</v>
      </c>
      <c r="E78" s="78">
        <v>6</v>
      </c>
      <c r="F78" s="24">
        <v>180000</v>
      </c>
      <c r="G78" s="78">
        <v>6</v>
      </c>
      <c r="H78" s="24">
        <v>180000</v>
      </c>
      <c r="I78" s="74">
        <f t="shared" si="9"/>
        <v>0</v>
      </c>
      <c r="J78" s="3" t="s">
        <v>107</v>
      </c>
    </row>
    <row r="79" spans="1:11" s="3" customFormat="1" ht="21.75" customHeight="1">
      <c r="A79" s="8"/>
      <c r="B79" s="23" t="s">
        <v>63</v>
      </c>
      <c r="C79" s="78">
        <v>2</v>
      </c>
      <c r="D79" s="79">
        <f>100000-100000</f>
        <v>0</v>
      </c>
      <c r="E79" s="78"/>
      <c r="F79" s="24"/>
      <c r="G79" s="78"/>
      <c r="H79" s="24"/>
      <c r="I79" s="74">
        <f t="shared" si="9"/>
        <v>0</v>
      </c>
    </row>
    <row r="80" spans="1:11" s="3" customFormat="1" ht="21.75" customHeight="1">
      <c r="A80" s="8"/>
      <c r="B80" s="25" t="s">
        <v>82</v>
      </c>
      <c r="C80" s="78"/>
      <c r="D80" s="79"/>
      <c r="E80" s="78"/>
      <c r="F80" s="24"/>
      <c r="G80" s="78"/>
      <c r="H80" s="24"/>
      <c r="I80" s="74">
        <f t="shared" si="9"/>
        <v>0</v>
      </c>
    </row>
    <row r="81" spans="1:10" s="3" customFormat="1" ht="21.75" customHeight="1">
      <c r="A81" s="8"/>
      <c r="B81" s="25" t="s">
        <v>83</v>
      </c>
      <c r="C81" s="78"/>
      <c r="D81" s="79"/>
      <c r="E81" s="78"/>
      <c r="F81" s="24"/>
      <c r="G81" s="78"/>
      <c r="H81" s="24"/>
      <c r="I81" s="74">
        <f t="shared" si="9"/>
        <v>0</v>
      </c>
    </row>
    <row r="82" spans="1:10" s="3" customFormat="1" ht="21.75" customHeight="1">
      <c r="A82" s="8"/>
      <c r="B82" s="25" t="s">
        <v>84</v>
      </c>
      <c r="C82" s="78"/>
      <c r="D82" s="79"/>
      <c r="E82" s="78"/>
      <c r="F82" s="24"/>
      <c r="G82" s="78"/>
      <c r="H82" s="24"/>
      <c r="I82" s="74">
        <f t="shared" si="7"/>
        <v>0</v>
      </c>
    </row>
    <row r="83" spans="1:10" s="3" customFormat="1" ht="21.75" customHeight="1">
      <c r="A83" s="8"/>
      <c r="B83" s="25" t="s">
        <v>85</v>
      </c>
      <c r="C83" s="78"/>
      <c r="D83" s="79"/>
      <c r="E83" s="78"/>
      <c r="F83" s="24"/>
      <c r="G83" s="78"/>
      <c r="H83" s="24"/>
      <c r="I83" s="74">
        <f t="shared" si="7"/>
        <v>0</v>
      </c>
    </row>
    <row r="84" spans="1:10" s="3" customFormat="1" ht="21.75" customHeight="1">
      <c r="A84" s="8"/>
      <c r="B84" s="25" t="s">
        <v>86</v>
      </c>
      <c r="C84" s="78"/>
      <c r="D84" s="79"/>
      <c r="E84" s="78"/>
      <c r="F84" s="24"/>
      <c r="G84" s="78"/>
      <c r="H84" s="24"/>
      <c r="I84" s="74">
        <f t="shared" si="7"/>
        <v>0</v>
      </c>
    </row>
    <row r="85" spans="1:10" s="3" customFormat="1" ht="21.75" customHeight="1">
      <c r="A85" s="8"/>
      <c r="B85" s="25" t="s">
        <v>87</v>
      </c>
      <c r="C85" s="78"/>
      <c r="D85" s="79"/>
      <c r="E85" s="78"/>
      <c r="F85" s="24"/>
      <c r="G85" s="78"/>
      <c r="H85" s="24"/>
      <c r="I85" s="74">
        <f t="shared" si="7"/>
        <v>0</v>
      </c>
    </row>
    <row r="86" spans="1:10" s="3" customFormat="1" ht="21.75" customHeight="1">
      <c r="A86" s="8"/>
      <c r="B86" s="25" t="s">
        <v>88</v>
      </c>
      <c r="C86" s="78"/>
      <c r="D86" s="79"/>
      <c r="E86" s="78"/>
      <c r="F86" s="24"/>
      <c r="G86" s="78"/>
      <c r="H86" s="24"/>
      <c r="I86" s="74">
        <f t="shared" si="7"/>
        <v>0</v>
      </c>
    </row>
    <row r="87" spans="1:10" s="3" customFormat="1" ht="21.75" customHeight="1">
      <c r="A87" s="8"/>
      <c r="B87" s="25" t="s">
        <v>89</v>
      </c>
      <c r="C87" s="78"/>
      <c r="D87" s="79"/>
      <c r="E87" s="78"/>
      <c r="F87" s="24"/>
      <c r="G87" s="78"/>
      <c r="H87" s="24"/>
      <c r="I87" s="74">
        <f t="shared" si="7"/>
        <v>0</v>
      </c>
    </row>
    <row r="88" spans="1:10" s="3" customFormat="1" ht="21.75" customHeight="1">
      <c r="A88" s="8"/>
      <c r="B88" s="25" t="s">
        <v>50</v>
      </c>
      <c r="C88" s="78"/>
      <c r="D88" s="79"/>
      <c r="E88" s="78"/>
      <c r="F88" s="24"/>
      <c r="G88" s="78"/>
      <c r="H88" s="24"/>
      <c r="I88" s="74">
        <f t="shared" si="7"/>
        <v>0</v>
      </c>
    </row>
    <row r="89" spans="1:10" s="3" customFormat="1" ht="21.75" customHeight="1">
      <c r="A89" s="8"/>
      <c r="B89" s="25" t="s">
        <v>90</v>
      </c>
      <c r="C89" s="78"/>
      <c r="D89" s="79"/>
      <c r="E89" s="78"/>
      <c r="F89" s="24"/>
      <c r="G89" s="78"/>
      <c r="H89" s="24"/>
      <c r="I89" s="74">
        <f t="shared" si="7"/>
        <v>0</v>
      </c>
    </row>
    <row r="90" spans="1:10" s="3" customFormat="1" ht="21.75" customHeight="1">
      <c r="A90" s="8"/>
      <c r="B90" s="23" t="s">
        <v>64</v>
      </c>
      <c r="C90" s="78">
        <v>1</v>
      </c>
      <c r="D90" s="112">
        <v>90950</v>
      </c>
      <c r="E90" s="78">
        <v>1</v>
      </c>
      <c r="F90" s="24">
        <v>90950</v>
      </c>
      <c r="G90" s="78">
        <v>1</v>
      </c>
      <c r="H90" s="24">
        <v>90950</v>
      </c>
      <c r="I90" s="74">
        <f>D90-F90</f>
        <v>0</v>
      </c>
      <c r="J90" s="3" t="s">
        <v>109</v>
      </c>
    </row>
    <row r="91" spans="1:10" s="3" customFormat="1" ht="23.45" customHeight="1">
      <c r="A91" s="10"/>
      <c r="B91" s="11" t="s">
        <v>8</v>
      </c>
      <c r="C91" s="107"/>
      <c r="D91" s="105">
        <f>SUM(D54:D90)</f>
        <v>8275590</v>
      </c>
      <c r="E91" s="107"/>
      <c r="F91" s="105">
        <f>SUM(F53:F90)</f>
        <v>8275590</v>
      </c>
      <c r="G91" s="107"/>
      <c r="H91" s="105">
        <f>SUM(H53:H90)</f>
        <v>8275590</v>
      </c>
      <c r="I91" s="105">
        <f>SUM(I53:I90)</f>
        <v>0</v>
      </c>
    </row>
    <row r="92" spans="1:10" s="21" customFormat="1" ht="17.45" customHeight="1">
      <c r="A92" s="8"/>
      <c r="B92" s="17" t="s">
        <v>55</v>
      </c>
      <c r="C92" s="93"/>
      <c r="D92" s="79"/>
      <c r="E92" s="93"/>
      <c r="F92" s="79"/>
      <c r="G92" s="93"/>
      <c r="H92" s="80"/>
      <c r="I92" s="95"/>
    </row>
    <row r="93" spans="1:10" s="3" customFormat="1" ht="18.75">
      <c r="A93" s="8">
        <v>41</v>
      </c>
      <c r="B93" s="16" t="s">
        <v>56</v>
      </c>
      <c r="C93" s="99" t="s">
        <v>7</v>
      </c>
      <c r="D93" s="79">
        <f>627899+2980943-960498</f>
        <v>2648344</v>
      </c>
      <c r="E93" s="95"/>
      <c r="F93" s="79">
        <f>338841+313842+289058+791726+914877</f>
        <v>2648344</v>
      </c>
      <c r="G93" s="95"/>
      <c r="H93" s="80">
        <f>235253.83+103458.19+602495.52+533.46+791726+914877</f>
        <v>2648344</v>
      </c>
      <c r="I93" s="74">
        <f>D93-F93</f>
        <v>0</v>
      </c>
    </row>
    <row r="94" spans="1:10" s="3" customFormat="1" ht="18.75">
      <c r="A94" s="8">
        <v>42</v>
      </c>
      <c r="B94" s="16" t="s">
        <v>57</v>
      </c>
      <c r="C94" s="99" t="s">
        <v>7</v>
      </c>
      <c r="D94" s="79">
        <f>131746+657771-238688</f>
        <v>550829</v>
      </c>
      <c r="E94" s="95"/>
      <c r="F94" s="79">
        <f>70117+63594+61629+164337+191152</f>
        <v>550829</v>
      </c>
      <c r="G94" s="95"/>
      <c r="H94" s="80">
        <f>47327.54+20918.83+126976.08+117.55+164336+1+191152</f>
        <v>550829</v>
      </c>
      <c r="I94" s="74">
        <f>D94-F94</f>
        <v>0</v>
      </c>
    </row>
    <row r="95" spans="1:10" s="3" customFormat="1" ht="18.75">
      <c r="A95" s="8">
        <v>43</v>
      </c>
      <c r="B95" s="16" t="s">
        <v>40</v>
      </c>
      <c r="C95" s="99" t="s">
        <v>7</v>
      </c>
      <c r="D95" s="76"/>
      <c r="E95" s="23"/>
      <c r="F95" s="79"/>
      <c r="G95" s="23"/>
      <c r="H95" s="80"/>
      <c r="I95" s="74"/>
    </row>
    <row r="96" spans="1:10" s="3" customFormat="1" ht="21" customHeight="1">
      <c r="A96" s="10"/>
      <c r="B96" s="11" t="s">
        <v>8</v>
      </c>
      <c r="C96" s="108"/>
      <c r="D96" s="105">
        <f>SUM(D92:D95)</f>
        <v>3199173</v>
      </c>
      <c r="E96" s="108"/>
      <c r="F96" s="105">
        <f>SUM(F93:F95)</f>
        <v>3199173</v>
      </c>
      <c r="G96" s="108"/>
      <c r="H96" s="106">
        <f>SUM(H93:H95)</f>
        <v>3199173</v>
      </c>
      <c r="I96" s="106">
        <f>SUM(I93:I95)</f>
        <v>0</v>
      </c>
    </row>
    <row r="97" spans="1:9" s="3" customFormat="1" ht="32.1" customHeight="1">
      <c r="A97" s="8">
        <v>43</v>
      </c>
      <c r="B97" s="26" t="s">
        <v>58</v>
      </c>
      <c r="C97" s="100"/>
      <c r="D97" s="76">
        <f>D17+D25+D51+D91+D96</f>
        <v>25944066</v>
      </c>
      <c r="E97" s="100"/>
      <c r="F97" s="76">
        <f>F17+F25+F51+F91+F96</f>
        <v>25944066</v>
      </c>
      <c r="G97" s="100"/>
      <c r="H97" s="77">
        <f>H17+H25+H51+H91+H96</f>
        <v>25944066</v>
      </c>
      <c r="I97" s="77">
        <f>I17+I25+I51+I91+I96</f>
        <v>0</v>
      </c>
    </row>
    <row r="98" spans="1:9" s="28" customFormat="1" ht="18.75">
      <c r="A98" s="8">
        <v>44</v>
      </c>
      <c r="B98" s="27" t="s">
        <v>59</v>
      </c>
      <c r="C98" s="101"/>
      <c r="D98" s="64"/>
      <c r="E98" s="101"/>
      <c r="F98" s="102"/>
      <c r="G98" s="101"/>
      <c r="H98" s="103"/>
      <c r="I98" s="74">
        <f>D97-F98</f>
        <v>25944066</v>
      </c>
    </row>
    <row r="102" spans="1:9">
      <c r="D102" s="64">
        <f>D97-D96</f>
        <v>22744893</v>
      </c>
      <c r="F102" s="64">
        <f>F97-F96</f>
        <v>22744893</v>
      </c>
    </row>
  </sheetData>
  <mergeCells count="8">
    <mergeCell ref="J16:L16"/>
    <mergeCell ref="A1:H1"/>
    <mergeCell ref="A3:A4"/>
    <mergeCell ref="B3:B4"/>
    <mergeCell ref="C3:C4"/>
    <mergeCell ref="D3:D4"/>
    <mergeCell ref="E3:F3"/>
    <mergeCell ref="G3:H3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6"/>
  <sheetViews>
    <sheetView topLeftCell="A4" zoomScaleNormal="100" workbookViewId="0">
      <selection activeCell="B17" sqref="B17"/>
    </sheetView>
  </sheetViews>
  <sheetFormatPr defaultRowHeight="12.75"/>
  <cols>
    <col min="1" max="1" width="47.42578125" customWidth="1"/>
    <col min="2" max="2" width="14" style="52" customWidth="1"/>
    <col min="3" max="3" width="14.140625" style="52" customWidth="1"/>
    <col min="4" max="4" width="14.5703125" style="52" customWidth="1"/>
    <col min="5" max="5" width="15" style="52" customWidth="1"/>
  </cols>
  <sheetData>
    <row r="1" spans="1:5">
      <c r="E1" s="57" t="s">
        <v>103</v>
      </c>
    </row>
    <row r="2" spans="1:5" ht="62.25" customHeight="1">
      <c r="A2" s="53" t="s">
        <v>94</v>
      </c>
      <c r="B2" s="54" t="s">
        <v>92</v>
      </c>
      <c r="C2" s="54" t="s">
        <v>93</v>
      </c>
      <c r="D2" s="55" t="s">
        <v>100</v>
      </c>
      <c r="E2" s="55" t="s">
        <v>95</v>
      </c>
    </row>
    <row r="3" spans="1:5" ht="15.75">
      <c r="A3" s="40" t="s">
        <v>96</v>
      </c>
      <c r="B3" s="46"/>
      <c r="C3" s="46"/>
      <c r="D3" s="46"/>
      <c r="E3" s="46"/>
    </row>
    <row r="4" spans="1:5" ht="15">
      <c r="A4" s="31" t="s">
        <v>65</v>
      </c>
      <c r="B4" s="47">
        <v>8750</v>
      </c>
      <c r="C4" s="47"/>
      <c r="D4" s="47"/>
      <c r="E4" s="46">
        <f t="shared" ref="E4:E9" si="0">B4+D4</f>
        <v>8750</v>
      </c>
    </row>
    <row r="5" spans="1:5" ht="15">
      <c r="A5" s="31" t="s">
        <v>66</v>
      </c>
      <c r="B5" s="47">
        <v>14000</v>
      </c>
      <c r="C5" s="47"/>
      <c r="D5" s="47"/>
      <c r="E5" s="46">
        <f t="shared" si="0"/>
        <v>14000</v>
      </c>
    </row>
    <row r="6" spans="1:5" ht="15">
      <c r="A6" s="31" t="s">
        <v>67</v>
      </c>
      <c r="B6" s="47">
        <v>25900</v>
      </c>
      <c r="C6" s="47"/>
      <c r="D6" s="47"/>
      <c r="E6" s="46">
        <f t="shared" si="0"/>
        <v>25900</v>
      </c>
    </row>
    <row r="7" spans="1:5" ht="15">
      <c r="A7" s="31" t="s">
        <v>69</v>
      </c>
      <c r="B7" s="47">
        <v>16000</v>
      </c>
      <c r="C7" s="47"/>
      <c r="D7" s="47"/>
      <c r="E7" s="46">
        <f t="shared" si="0"/>
        <v>16000</v>
      </c>
    </row>
    <row r="8" spans="1:5" ht="15">
      <c r="A8" s="32" t="s">
        <v>91</v>
      </c>
      <c r="B8" s="47"/>
      <c r="C8" s="47">
        <v>11601</v>
      </c>
      <c r="D8" s="47">
        <v>11601</v>
      </c>
      <c r="E8" s="46">
        <f t="shared" si="0"/>
        <v>11601</v>
      </c>
    </row>
    <row r="9" spans="1:5" ht="15.75">
      <c r="A9" s="38" t="s">
        <v>71</v>
      </c>
      <c r="B9" s="47">
        <v>446400</v>
      </c>
      <c r="C9" s="47"/>
      <c r="D9" s="47">
        <v>-11601</v>
      </c>
      <c r="E9" s="46">
        <f t="shared" si="0"/>
        <v>434799</v>
      </c>
    </row>
    <row r="10" spans="1:5" ht="15">
      <c r="A10" s="43" t="s">
        <v>99</v>
      </c>
      <c r="B10" s="49">
        <f t="shared" ref="B10:C10" si="1">SUM(B4:B9)</f>
        <v>511050</v>
      </c>
      <c r="C10" s="49">
        <f t="shared" si="1"/>
        <v>11601</v>
      </c>
      <c r="D10" s="49">
        <f>SUM(D4:D9)</f>
        <v>0</v>
      </c>
      <c r="E10" s="49">
        <f>SUM(E4:E9)</f>
        <v>511050</v>
      </c>
    </row>
    <row r="11" spans="1:5" ht="15.75">
      <c r="A11" s="40" t="s">
        <v>97</v>
      </c>
      <c r="B11" s="48"/>
      <c r="C11" s="48"/>
      <c r="D11" s="48"/>
      <c r="E11" s="46"/>
    </row>
    <row r="12" spans="1:5" ht="15.75">
      <c r="A12" s="39" t="s">
        <v>25</v>
      </c>
      <c r="B12" s="48">
        <v>5063500</v>
      </c>
      <c r="C12" s="48"/>
      <c r="D12" s="48">
        <f>-1652523</f>
        <v>-1652523</v>
      </c>
      <c r="E12" s="46">
        <f t="shared" ref="E12:E17" si="2">B12+D12</f>
        <v>3410977</v>
      </c>
    </row>
    <row r="13" spans="1:5" ht="30">
      <c r="A13" s="33" t="s">
        <v>26</v>
      </c>
      <c r="B13" s="48">
        <v>1660000</v>
      </c>
      <c r="C13" s="48"/>
      <c r="D13" s="48">
        <f>-2500-73007</f>
        <v>-75507</v>
      </c>
      <c r="E13" s="46">
        <f t="shared" si="2"/>
        <v>1584493</v>
      </c>
    </row>
    <row r="14" spans="1:5" ht="17.25" customHeight="1">
      <c r="A14" s="33" t="s">
        <v>27</v>
      </c>
      <c r="B14" s="48">
        <v>1866975</v>
      </c>
      <c r="C14" s="48"/>
      <c r="D14" s="48">
        <f>-573304</f>
        <v>-573304</v>
      </c>
      <c r="E14" s="46">
        <f t="shared" si="2"/>
        <v>1293671</v>
      </c>
    </row>
    <row r="15" spans="1:5" ht="15">
      <c r="A15" s="34" t="s">
        <v>33</v>
      </c>
      <c r="B15" s="48"/>
      <c r="C15" s="48">
        <v>2500</v>
      </c>
      <c r="D15" s="48">
        <v>2500</v>
      </c>
      <c r="E15" s="46">
        <f t="shared" si="2"/>
        <v>2500</v>
      </c>
    </row>
    <row r="16" spans="1:5" ht="15">
      <c r="A16" s="35" t="s">
        <v>21</v>
      </c>
      <c r="B16" s="48">
        <v>719000</v>
      </c>
      <c r="C16" s="48"/>
      <c r="D16" s="48">
        <f>2995</f>
        <v>2995</v>
      </c>
      <c r="E16" s="46">
        <f t="shared" si="2"/>
        <v>721995</v>
      </c>
    </row>
    <row r="17" spans="1:5" ht="34.5" customHeight="1">
      <c r="A17" s="33" t="s">
        <v>39</v>
      </c>
      <c r="B17" s="48">
        <v>1358633</v>
      </c>
      <c r="C17" s="48"/>
      <c r="D17" s="48">
        <f>570309+73007+1652523</f>
        <v>2295839</v>
      </c>
      <c r="E17" s="46">
        <f t="shared" si="2"/>
        <v>3654472</v>
      </c>
    </row>
    <row r="18" spans="1:5" ht="15.75">
      <c r="A18" s="44" t="s">
        <v>99</v>
      </c>
      <c r="B18" s="49">
        <f>SUM(B12:B17)</f>
        <v>10668108</v>
      </c>
      <c r="C18" s="49">
        <f t="shared" ref="C18:E18" si="3">SUM(C12:C17)</f>
        <v>2500</v>
      </c>
      <c r="D18" s="49">
        <f t="shared" si="3"/>
        <v>0</v>
      </c>
      <c r="E18" s="49">
        <f t="shared" si="3"/>
        <v>10668108</v>
      </c>
    </row>
    <row r="19" spans="1:5" ht="15.75">
      <c r="A19" s="40" t="s">
        <v>98</v>
      </c>
      <c r="B19" s="46"/>
      <c r="C19" s="46"/>
      <c r="D19" s="46"/>
      <c r="E19" s="46"/>
    </row>
    <row r="20" spans="1:5" ht="15.75">
      <c r="A20" s="41" t="s">
        <v>44</v>
      </c>
      <c r="B20" s="46">
        <v>240000</v>
      </c>
      <c r="C20" s="46">
        <v>96152</v>
      </c>
      <c r="D20" s="46">
        <f>7616</f>
        <v>7616</v>
      </c>
      <c r="E20" s="46">
        <f t="shared" ref="E20:E33" si="4">B20+D20</f>
        <v>247616</v>
      </c>
    </row>
    <row r="21" spans="1:5" ht="15.75">
      <c r="A21" s="41" t="s">
        <v>63</v>
      </c>
      <c r="B21" s="46">
        <v>100000</v>
      </c>
      <c r="C21" s="46"/>
      <c r="D21" s="46">
        <v>-100000</v>
      </c>
      <c r="E21" s="46">
        <f t="shared" si="4"/>
        <v>0</v>
      </c>
    </row>
    <row r="22" spans="1:5" ht="15" customHeight="1">
      <c r="A22" s="41" t="s">
        <v>61</v>
      </c>
      <c r="B22" s="46">
        <v>765000</v>
      </c>
      <c r="C22" s="46">
        <v>132000</v>
      </c>
      <c r="D22" s="46">
        <f>100000+24000+8000</f>
        <v>132000</v>
      </c>
      <c r="E22" s="46">
        <f t="shared" si="4"/>
        <v>897000</v>
      </c>
    </row>
    <row r="23" spans="1:5" ht="31.5">
      <c r="A23" s="41" t="s">
        <v>51</v>
      </c>
      <c r="B23" s="46">
        <v>24000</v>
      </c>
      <c r="C23" s="46"/>
      <c r="D23" s="46">
        <v>-24000</v>
      </c>
      <c r="E23" s="46">
        <f t="shared" si="4"/>
        <v>0</v>
      </c>
    </row>
    <row r="24" spans="1:5" ht="15.75">
      <c r="A24" s="42" t="s">
        <v>82</v>
      </c>
      <c r="B24" s="46">
        <v>10000</v>
      </c>
      <c r="C24" s="46"/>
      <c r="D24" s="46">
        <v>-10000</v>
      </c>
      <c r="E24" s="46">
        <f t="shared" si="4"/>
        <v>0</v>
      </c>
    </row>
    <row r="25" spans="1:5" ht="15.75">
      <c r="A25" s="41" t="s">
        <v>45</v>
      </c>
      <c r="B25" s="46">
        <v>294000</v>
      </c>
      <c r="C25" s="46"/>
      <c r="D25" s="46">
        <f>-8000-99216</f>
        <v>-107216</v>
      </c>
      <c r="E25" s="46">
        <f t="shared" si="4"/>
        <v>186784</v>
      </c>
    </row>
    <row r="26" spans="1:5" ht="31.5">
      <c r="A26" s="42" t="s">
        <v>53</v>
      </c>
      <c r="B26" s="46">
        <v>250000</v>
      </c>
      <c r="C26" s="46">
        <v>48000</v>
      </c>
      <c r="D26" s="46">
        <v>48000</v>
      </c>
      <c r="E26" s="46">
        <f t="shared" si="4"/>
        <v>298000</v>
      </c>
    </row>
    <row r="27" spans="1:5" ht="31.5">
      <c r="A27" s="41" t="s">
        <v>46</v>
      </c>
      <c r="B27" s="46">
        <v>2800000</v>
      </c>
      <c r="C27" s="46">
        <v>50000</v>
      </c>
      <c r="D27" s="46">
        <v>50000</v>
      </c>
      <c r="E27" s="46">
        <f t="shared" si="4"/>
        <v>2850000</v>
      </c>
    </row>
    <row r="28" spans="1:5" ht="15.75">
      <c r="A28" s="42" t="s">
        <v>54</v>
      </c>
      <c r="B28" s="46">
        <v>128000</v>
      </c>
      <c r="C28" s="46"/>
      <c r="D28" s="46">
        <v>-101100</v>
      </c>
      <c r="E28" s="46">
        <f t="shared" si="4"/>
        <v>26900</v>
      </c>
    </row>
    <row r="29" spans="1:5" ht="15.75">
      <c r="A29" s="41" t="s">
        <v>60</v>
      </c>
      <c r="B29" s="46">
        <v>202500</v>
      </c>
      <c r="C29" s="46"/>
      <c r="D29" s="46">
        <v>-5000</v>
      </c>
      <c r="E29" s="46">
        <f t="shared" si="4"/>
        <v>197500</v>
      </c>
    </row>
    <row r="30" spans="1:5" ht="15.75">
      <c r="A30" s="41" t="s">
        <v>62</v>
      </c>
      <c r="B30" s="46">
        <v>240000</v>
      </c>
      <c r="C30" s="46"/>
      <c r="D30" s="46">
        <v>-60000</v>
      </c>
      <c r="E30" s="46">
        <f t="shared" si="4"/>
        <v>180000</v>
      </c>
    </row>
    <row r="31" spans="1:5" ht="15.75">
      <c r="A31" s="41" t="s">
        <v>48</v>
      </c>
      <c r="B31" s="46">
        <v>450000</v>
      </c>
      <c r="C31" s="46">
        <v>468400</v>
      </c>
      <c r="D31" s="46">
        <f>213000+190160+2140+63100-83560</f>
        <v>384840</v>
      </c>
      <c r="E31" s="46">
        <f t="shared" si="4"/>
        <v>834840</v>
      </c>
    </row>
    <row r="32" spans="1:5" ht="15.75">
      <c r="A32" s="41" t="s">
        <v>47</v>
      </c>
      <c r="B32" s="46">
        <v>294000</v>
      </c>
      <c r="C32" s="46"/>
      <c r="D32" s="46">
        <v>-213000</v>
      </c>
      <c r="E32" s="46">
        <f t="shared" si="4"/>
        <v>81000</v>
      </c>
    </row>
    <row r="33" spans="1:5" ht="15.75">
      <c r="A33" s="41" t="s">
        <v>64</v>
      </c>
      <c r="B33" s="46">
        <v>93090</v>
      </c>
      <c r="C33" s="46"/>
      <c r="D33" s="46">
        <v>-2140</v>
      </c>
      <c r="E33" s="46">
        <f t="shared" si="4"/>
        <v>90950</v>
      </c>
    </row>
    <row r="34" spans="1:5" ht="15.75">
      <c r="A34" s="45" t="s">
        <v>99</v>
      </c>
      <c r="B34" s="50">
        <f>SUM(B20:B33)</f>
        <v>5890590</v>
      </c>
      <c r="C34" s="50">
        <f t="shared" ref="C34:E34" si="5">SUM(C20:C33)</f>
        <v>794552</v>
      </c>
      <c r="D34" s="50">
        <f t="shared" si="5"/>
        <v>0</v>
      </c>
      <c r="E34" s="50">
        <f t="shared" si="5"/>
        <v>5890590</v>
      </c>
    </row>
    <row r="35" spans="1:5" ht="18.75">
      <c r="A35" s="36"/>
      <c r="B35" s="51"/>
    </row>
    <row r="36" spans="1:5" ht="15.75">
      <c r="A36" s="56" t="s">
        <v>101</v>
      </c>
      <c r="C36" s="52" t="s">
        <v>102</v>
      </c>
    </row>
  </sheetData>
  <pageMargins left="0.7" right="0.7" top="0.75" bottom="0.75" header="0.3" footer="0.3"/>
  <pageSetup paperSize="9" scale="9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7"/>
  <sheetViews>
    <sheetView zoomScaleNormal="100" workbookViewId="0">
      <selection activeCell="D19" sqref="D19"/>
    </sheetView>
  </sheetViews>
  <sheetFormatPr defaultRowHeight="12.75"/>
  <cols>
    <col min="1" max="1" width="47.42578125" customWidth="1"/>
    <col min="2" max="2" width="14" style="52" customWidth="1"/>
    <col min="3" max="3" width="14.140625" style="52" customWidth="1"/>
    <col min="4" max="4" width="14.5703125" style="52" customWidth="1"/>
    <col min="5" max="5" width="15" style="52" customWidth="1"/>
  </cols>
  <sheetData>
    <row r="1" spans="1:5">
      <c r="E1" s="57" t="s">
        <v>103</v>
      </c>
    </row>
    <row r="2" spans="1:5" ht="62.25" customHeight="1">
      <c r="A2" s="53" t="s">
        <v>94</v>
      </c>
      <c r="B2" s="54" t="s">
        <v>92</v>
      </c>
      <c r="C2" s="54" t="s">
        <v>93</v>
      </c>
      <c r="D2" s="55" t="s">
        <v>100</v>
      </c>
      <c r="E2" s="55" t="s">
        <v>95</v>
      </c>
    </row>
    <row r="3" spans="1:5" ht="15.75">
      <c r="A3" s="40" t="s">
        <v>96</v>
      </c>
      <c r="B3" s="46"/>
      <c r="C3" s="46"/>
      <c r="D3" s="46"/>
      <c r="E3" s="46"/>
    </row>
    <row r="4" spans="1:5" ht="15">
      <c r="A4" s="31" t="s">
        <v>65</v>
      </c>
      <c r="B4" s="47">
        <v>8750</v>
      </c>
      <c r="C4" s="47"/>
      <c r="D4" s="47">
        <v>-4412</v>
      </c>
      <c r="E4" s="46">
        <f t="shared" ref="E4:E12" si="0">B4+D4</f>
        <v>4338</v>
      </c>
    </row>
    <row r="5" spans="1:5" ht="15">
      <c r="A5" s="31" t="s">
        <v>66</v>
      </c>
      <c r="B5" s="47">
        <v>14000</v>
      </c>
      <c r="C5" s="47"/>
      <c r="D5" s="47">
        <v>-5600</v>
      </c>
      <c r="E5" s="46">
        <f t="shared" si="0"/>
        <v>8400</v>
      </c>
    </row>
    <row r="6" spans="1:5" ht="15">
      <c r="A6" s="31" t="s">
        <v>67</v>
      </c>
      <c r="B6" s="47">
        <v>25900</v>
      </c>
      <c r="C6" s="47">
        <v>9212</v>
      </c>
      <c r="D6" s="47">
        <v>9212</v>
      </c>
      <c r="E6" s="46">
        <f t="shared" si="0"/>
        <v>35112</v>
      </c>
    </row>
    <row r="7" spans="1:5" ht="15">
      <c r="A7" s="31" t="s">
        <v>105</v>
      </c>
      <c r="B7" s="47">
        <v>35000</v>
      </c>
      <c r="C7" s="47">
        <v>38850</v>
      </c>
      <c r="D7" s="47">
        <v>38850</v>
      </c>
      <c r="E7" s="46">
        <f t="shared" si="0"/>
        <v>73850</v>
      </c>
    </row>
    <row r="8" spans="1:5" ht="15">
      <c r="A8" s="31" t="s">
        <v>69</v>
      </c>
      <c r="B8" s="47">
        <v>16000</v>
      </c>
      <c r="C8" s="47"/>
      <c r="D8" s="47"/>
      <c r="E8" s="46">
        <f t="shared" si="0"/>
        <v>16000</v>
      </c>
    </row>
    <row r="9" spans="1:5" ht="15">
      <c r="A9" s="31" t="s">
        <v>70</v>
      </c>
      <c r="B9" s="47">
        <v>40000</v>
      </c>
      <c r="C9" s="47">
        <v>2048</v>
      </c>
      <c r="D9" s="47">
        <v>2048</v>
      </c>
      <c r="E9" s="46">
        <f t="shared" si="0"/>
        <v>42048</v>
      </c>
    </row>
    <row r="10" spans="1:5" ht="15">
      <c r="A10" s="31" t="s">
        <v>104</v>
      </c>
      <c r="B10" s="47"/>
      <c r="C10" s="47">
        <v>16944</v>
      </c>
      <c r="D10" s="47">
        <v>16944</v>
      </c>
      <c r="E10" s="46">
        <f t="shared" si="0"/>
        <v>16944</v>
      </c>
    </row>
    <row r="11" spans="1:5" ht="15">
      <c r="A11" s="32" t="s">
        <v>91</v>
      </c>
      <c r="B11" s="47"/>
      <c r="C11" s="47">
        <v>11601</v>
      </c>
      <c r="D11" s="47">
        <v>11601</v>
      </c>
      <c r="E11" s="46">
        <f t="shared" si="0"/>
        <v>11601</v>
      </c>
    </row>
    <row r="12" spans="1:5" ht="15.75">
      <c r="A12" s="38" t="s">
        <v>71</v>
      </c>
      <c r="B12" s="47">
        <v>446400</v>
      </c>
      <c r="C12" s="47"/>
      <c r="D12" s="47">
        <v>-68643</v>
      </c>
      <c r="E12" s="46">
        <f t="shared" si="0"/>
        <v>377757</v>
      </c>
    </row>
    <row r="13" spans="1:5" ht="15">
      <c r="A13" s="43" t="s">
        <v>99</v>
      </c>
      <c r="B13" s="49">
        <f t="shared" ref="B13:C13" si="1">SUM(B4:B12)</f>
        <v>586050</v>
      </c>
      <c r="C13" s="49">
        <f t="shared" si="1"/>
        <v>78655</v>
      </c>
      <c r="D13" s="49">
        <f>SUM(D4:D12)</f>
        <v>0</v>
      </c>
      <c r="E13" s="49">
        <f>SUM(E4:E12)</f>
        <v>586050</v>
      </c>
    </row>
    <row r="14" spans="1:5" ht="15.75">
      <c r="A14" s="40" t="s">
        <v>97</v>
      </c>
      <c r="B14" s="48"/>
      <c r="C14" s="48"/>
      <c r="D14" s="48"/>
      <c r="E14" s="46"/>
    </row>
    <row r="15" spans="1:5" ht="15">
      <c r="A15" s="33" t="s">
        <v>17</v>
      </c>
      <c r="B15" s="46">
        <v>91237</v>
      </c>
      <c r="C15" s="46"/>
      <c r="D15" s="46"/>
      <c r="E15" s="46">
        <f t="shared" ref="E15:E34" si="2">B15+D15</f>
        <v>91237</v>
      </c>
    </row>
    <row r="16" spans="1:5" ht="15">
      <c r="A16" s="35" t="s">
        <v>18</v>
      </c>
      <c r="B16" s="46">
        <v>46800</v>
      </c>
      <c r="C16" s="46"/>
      <c r="D16" s="46">
        <v>-19500</v>
      </c>
      <c r="E16" s="46">
        <f t="shared" si="2"/>
        <v>27300</v>
      </c>
    </row>
    <row r="17" spans="1:5" ht="15" customHeight="1">
      <c r="A17" s="35" t="s">
        <v>19</v>
      </c>
      <c r="B17" s="46">
        <v>25195</v>
      </c>
      <c r="C17" s="46"/>
      <c r="D17" s="46"/>
      <c r="E17" s="46">
        <f t="shared" si="2"/>
        <v>25195</v>
      </c>
    </row>
    <row r="18" spans="1:5" ht="15">
      <c r="A18" s="35" t="s">
        <v>21</v>
      </c>
      <c r="B18" s="46">
        <v>719000</v>
      </c>
      <c r="C18" s="46"/>
      <c r="D18" s="46">
        <v>2995</v>
      </c>
      <c r="E18" s="46">
        <f t="shared" si="2"/>
        <v>721995</v>
      </c>
    </row>
    <row r="19" spans="1:5" ht="30">
      <c r="A19" s="35" t="s">
        <v>23</v>
      </c>
      <c r="B19" s="46">
        <v>113100</v>
      </c>
      <c r="C19" s="46"/>
      <c r="D19" s="46">
        <v>-78000</v>
      </c>
      <c r="E19" s="46">
        <f t="shared" si="2"/>
        <v>35100</v>
      </c>
    </row>
    <row r="20" spans="1:5" ht="30">
      <c r="A20" s="33" t="s">
        <v>24</v>
      </c>
      <c r="B20" s="46">
        <v>668983</v>
      </c>
      <c r="C20" s="46"/>
      <c r="D20" s="46">
        <v>-664000</v>
      </c>
      <c r="E20" s="46">
        <f t="shared" si="2"/>
        <v>4983</v>
      </c>
    </row>
    <row r="21" spans="1:5" ht="15">
      <c r="A21" s="33" t="s">
        <v>25</v>
      </c>
      <c r="B21" s="46">
        <v>5063500</v>
      </c>
      <c r="C21" s="46"/>
      <c r="D21" s="46">
        <v>-1696000</v>
      </c>
      <c r="E21" s="46">
        <f t="shared" si="2"/>
        <v>3367500</v>
      </c>
    </row>
    <row r="22" spans="1:5" ht="30">
      <c r="A22" s="33" t="s">
        <v>26</v>
      </c>
      <c r="B22" s="46">
        <v>1660000</v>
      </c>
      <c r="C22" s="46"/>
      <c r="D22" s="46">
        <v>-1576000</v>
      </c>
      <c r="E22" s="46">
        <f t="shared" si="2"/>
        <v>84000</v>
      </c>
    </row>
    <row r="23" spans="1:5" ht="15">
      <c r="A23" s="33" t="s">
        <v>27</v>
      </c>
      <c r="B23" s="46">
        <v>1866975</v>
      </c>
      <c r="C23" s="46"/>
      <c r="D23" s="46">
        <v>-1117164</v>
      </c>
      <c r="E23" s="46">
        <f t="shared" si="2"/>
        <v>749811</v>
      </c>
    </row>
    <row r="24" spans="1:5" ht="18.75" customHeight="1">
      <c r="A24" s="109" t="s">
        <v>28</v>
      </c>
      <c r="B24" s="46"/>
      <c r="C24" s="46"/>
      <c r="D24" s="46"/>
      <c r="E24" s="46"/>
    </row>
    <row r="25" spans="1:5" ht="15">
      <c r="A25" s="34" t="s">
        <v>29</v>
      </c>
      <c r="B25" s="46">
        <v>173472</v>
      </c>
      <c r="C25" s="46"/>
      <c r="D25" s="46">
        <v>-41770</v>
      </c>
      <c r="E25" s="46">
        <f t="shared" si="2"/>
        <v>131702</v>
      </c>
    </row>
    <row r="26" spans="1:5" ht="15">
      <c r="A26" s="34" t="s">
        <v>30</v>
      </c>
      <c r="B26" s="46">
        <v>110003</v>
      </c>
      <c r="C26" s="46"/>
      <c r="D26" s="46"/>
      <c r="E26" s="46">
        <f t="shared" si="2"/>
        <v>110003</v>
      </c>
    </row>
    <row r="27" spans="1:5" ht="15">
      <c r="A27" s="34" t="s">
        <v>31</v>
      </c>
      <c r="B27" s="110">
        <v>121000</v>
      </c>
      <c r="C27" s="50"/>
      <c r="D27" s="50"/>
      <c r="E27" s="46">
        <f t="shared" si="2"/>
        <v>121000</v>
      </c>
    </row>
    <row r="28" spans="1:5" ht="15">
      <c r="A28" s="34" t="s">
        <v>32</v>
      </c>
      <c r="B28" s="46">
        <v>174964</v>
      </c>
      <c r="C28" s="46"/>
      <c r="D28" s="46">
        <v>39370</v>
      </c>
      <c r="E28" s="46">
        <f t="shared" si="2"/>
        <v>214334</v>
      </c>
    </row>
    <row r="29" spans="1:5" ht="15">
      <c r="A29" s="34" t="s">
        <v>33</v>
      </c>
      <c r="B29" s="46"/>
      <c r="C29" s="46">
        <v>4900</v>
      </c>
      <c r="D29" s="46">
        <v>4900</v>
      </c>
      <c r="E29" s="46">
        <f t="shared" si="2"/>
        <v>4900</v>
      </c>
    </row>
    <row r="30" spans="1:5" ht="15">
      <c r="A30" s="34" t="s">
        <v>34</v>
      </c>
      <c r="B30" s="46"/>
      <c r="C30" s="46"/>
      <c r="D30" s="46"/>
      <c r="E30" s="46">
        <f t="shared" si="2"/>
        <v>0</v>
      </c>
    </row>
    <row r="31" spans="1:5" ht="15">
      <c r="A31" s="33" t="s">
        <v>36</v>
      </c>
      <c r="B31" s="46">
        <v>76696</v>
      </c>
      <c r="C31" s="46"/>
      <c r="D31" s="46"/>
      <c r="E31" s="46">
        <f t="shared" si="2"/>
        <v>76696</v>
      </c>
    </row>
    <row r="32" spans="1:5" ht="15">
      <c r="A32" s="33" t="s">
        <v>37</v>
      </c>
      <c r="B32" s="46">
        <v>271605</v>
      </c>
      <c r="C32" s="46"/>
      <c r="D32" s="46"/>
      <c r="E32" s="46">
        <f t="shared" si="2"/>
        <v>271605</v>
      </c>
    </row>
    <row r="33" spans="1:7" ht="15">
      <c r="A33" s="33" t="s">
        <v>38</v>
      </c>
      <c r="B33" s="46">
        <v>480356</v>
      </c>
      <c r="C33" s="46"/>
      <c r="D33" s="46"/>
      <c r="E33" s="46">
        <f t="shared" si="2"/>
        <v>480356</v>
      </c>
    </row>
    <row r="34" spans="1:7" ht="30">
      <c r="A34" s="33" t="s">
        <v>39</v>
      </c>
      <c r="B34" s="46">
        <v>1358633</v>
      </c>
      <c r="C34" s="46"/>
      <c r="D34" s="46">
        <v>5145169</v>
      </c>
      <c r="E34" s="46">
        <f t="shared" si="2"/>
        <v>6503802</v>
      </c>
    </row>
    <row r="35" spans="1:7" ht="15">
      <c r="A35" s="43" t="s">
        <v>99</v>
      </c>
      <c r="B35" s="50">
        <f>SUM(B15:B34)</f>
        <v>13021519</v>
      </c>
      <c r="C35" s="50">
        <f t="shared" ref="C35:E35" si="3">SUM(C15:C34)</f>
        <v>4900</v>
      </c>
      <c r="D35" s="50">
        <f t="shared" si="3"/>
        <v>0</v>
      </c>
      <c r="E35" s="50">
        <f t="shared" si="3"/>
        <v>13021519</v>
      </c>
      <c r="G35" s="52"/>
    </row>
    <row r="37" spans="1:7" ht="15">
      <c r="A37" s="111" t="s">
        <v>101</v>
      </c>
      <c r="C37" s="52" t="s">
        <v>102</v>
      </c>
    </row>
  </sheetData>
  <pageMargins left="0.7" right="0.7" top="0.75" bottom="0.75" header="0.3" footer="0.3"/>
  <pageSetup paperSize="9" scale="9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форма</vt:lpstr>
      <vt:lpstr>Лист1</vt:lpstr>
      <vt:lpstr>Лист1 (2)</vt:lpstr>
      <vt:lpstr>форма!Область_печати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ПК-1</dc:creator>
  <cp:lastModifiedBy>Q</cp:lastModifiedBy>
  <cp:lastPrinted>2020-11-26T06:25:38Z</cp:lastPrinted>
  <dcterms:created xsi:type="dcterms:W3CDTF">2020-10-06T05:43:14Z</dcterms:created>
  <dcterms:modified xsi:type="dcterms:W3CDTF">2020-12-30T09:48:02Z</dcterms:modified>
</cp:coreProperties>
</file>